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я\ПЕтанк\2021\Маяк\"/>
    </mc:Choice>
  </mc:AlternateContent>
  <xr:revisionPtr revIDLastSave="0" documentId="13_ncr:1_{C4E15655-D920-4EF0-8C49-5603DF63E5CA}" xr6:coauthVersionLast="47" xr6:coauthVersionMax="47" xr10:uidLastSave="{00000000-0000-0000-0000-000000000000}"/>
  <bookViews>
    <workbookView xWindow="-108" yWindow="-108" windowWidth="23256" windowHeight="12576" tabRatio="644" firstSheet="1" activeTab="8" xr2:uid="{AE83D665-AD62-4167-B871-7D7EF50B4FD8}"/>
  </bookViews>
  <sheets>
    <sheet name="Регламент" sheetId="9" r:id="rId1"/>
    <sheet name="Жеребьевка" sheetId="10" r:id="rId2"/>
    <sheet name="Список" sheetId="13" r:id="rId3"/>
    <sheet name="Группа 1" sheetId="2" r:id="rId4"/>
    <sheet name="Группа 2" sheetId="3" r:id="rId5"/>
    <sheet name="Группа 3" sheetId="4" r:id="rId6"/>
    <sheet name="Группа 4 " sheetId="5" r:id="rId7"/>
    <sheet name="Группа 5" sheetId="6" r:id="rId8"/>
    <sheet name="Плей офф 16 Кубок А" sheetId="7" r:id="rId9"/>
    <sheet name="Кубок Б" sheetId="8" r:id="rId10"/>
    <sheet name="Лист1" sheetId="11" r:id="rId11"/>
  </sheets>
  <definedNames>
    <definedName name="_xlnm._FilterDatabase" localSheetId="1" hidden="1">Жеребьевка!$G$2:$H$29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  <c r="B40" i="8"/>
  <c r="F38" i="8"/>
  <c r="B36" i="8"/>
  <c r="F30" i="8"/>
  <c r="J26" i="8"/>
  <c r="F22" i="8"/>
  <c r="N18" i="8"/>
  <c r="F14" i="8"/>
  <c r="J10" i="8"/>
  <c r="F6" i="8"/>
  <c r="B24" i="7"/>
  <c r="B64" i="7"/>
  <c r="B60" i="7"/>
  <c r="B32" i="7"/>
  <c r="B36" i="7"/>
  <c r="B48" i="7"/>
  <c r="B16" i="7"/>
  <c r="B28" i="7"/>
  <c r="B44" i="7"/>
  <c r="B12" i="7"/>
  <c r="B52" i="7"/>
  <c r="B8" i="7"/>
  <c r="B20" i="7"/>
  <c r="B56" i="7"/>
  <c r="B40" i="7"/>
  <c r="B72" i="7"/>
  <c r="F70" i="7"/>
  <c r="B68" i="7"/>
  <c r="F62" i="7"/>
  <c r="J58" i="7"/>
  <c r="F54" i="7"/>
  <c r="N50" i="7"/>
  <c r="F46" i="7"/>
  <c r="J42" i="7"/>
  <c r="F38" i="7"/>
  <c r="R34" i="7"/>
  <c r="F30" i="7"/>
  <c r="J26" i="7"/>
  <c r="F22" i="7"/>
  <c r="N18" i="7"/>
  <c r="F14" i="7"/>
  <c r="J10" i="7"/>
  <c r="F6" i="7"/>
  <c r="I12" i="6"/>
  <c r="C37" i="6"/>
  <c r="J10" i="6"/>
  <c r="I8" i="2"/>
  <c r="K10" i="5"/>
  <c r="H12" i="5"/>
  <c r="J6" i="6"/>
  <c r="F10" i="2"/>
  <c r="C31" i="3"/>
  <c r="J4" i="4"/>
  <c r="F6" i="6"/>
  <c r="J4" i="3"/>
  <c r="C23" i="3"/>
  <c r="H31" i="2"/>
  <c r="H14" i="6"/>
  <c r="H25" i="6"/>
  <c r="K6" i="5"/>
  <c r="G10" i="4"/>
  <c r="C22" i="5"/>
  <c r="C30" i="5"/>
  <c r="F8" i="2"/>
  <c r="H27" i="5"/>
  <c r="G8" i="2"/>
  <c r="C32" i="6"/>
  <c r="H6" i="6"/>
  <c r="H27" i="4"/>
  <c r="C42" i="6"/>
  <c r="C27" i="4"/>
  <c r="G8" i="3"/>
  <c r="J14" i="5"/>
  <c r="C26" i="3"/>
  <c r="G14" i="6"/>
  <c r="H22" i="3"/>
  <c r="H31" i="6"/>
  <c r="K12" i="5"/>
  <c r="K13" i="5" s="1"/>
  <c r="C19" i="2"/>
  <c r="H4" i="5"/>
  <c r="H10" i="5"/>
  <c r="C22" i="3"/>
  <c r="J8" i="6"/>
  <c r="I12" i="3"/>
  <c r="G10" i="5"/>
  <c r="C31" i="2"/>
  <c r="J8" i="4"/>
  <c r="I4" i="3"/>
  <c r="C23" i="2"/>
  <c r="F12" i="2"/>
  <c r="H30" i="2"/>
  <c r="I4" i="6"/>
  <c r="C35" i="6"/>
  <c r="H12" i="3"/>
  <c r="I12" i="4"/>
  <c r="F10" i="5"/>
  <c r="H30" i="4"/>
  <c r="F10" i="6"/>
  <c r="C35" i="4"/>
  <c r="C34" i="4"/>
  <c r="C20" i="6"/>
  <c r="I6" i="5"/>
  <c r="J5" i="4"/>
  <c r="H21" i="5"/>
  <c r="I4" i="2"/>
  <c r="I4" i="4"/>
  <c r="G9" i="3"/>
  <c r="C18" i="4"/>
  <c r="H14" i="5"/>
  <c r="G12" i="3"/>
  <c r="G4" i="4"/>
  <c r="H23" i="2"/>
  <c r="I5" i="2"/>
  <c r="H27" i="2"/>
  <c r="K12" i="6"/>
  <c r="C26" i="4"/>
  <c r="C36" i="5"/>
  <c r="F9" i="2"/>
  <c r="G4" i="2"/>
  <c r="G15" i="6"/>
  <c r="C22" i="6"/>
  <c r="H41" i="6"/>
  <c r="C27" i="3"/>
  <c r="H19" i="4"/>
  <c r="H36" i="6"/>
  <c r="J4" i="2"/>
  <c r="J6" i="2"/>
  <c r="H20" i="6"/>
  <c r="K8" i="5"/>
  <c r="H10" i="3"/>
  <c r="I6" i="3"/>
  <c r="J10" i="2"/>
  <c r="H35" i="3"/>
  <c r="C37" i="5"/>
  <c r="H34" i="4"/>
  <c r="H18" i="4"/>
  <c r="C31" i="6"/>
  <c r="C41" i="6"/>
  <c r="F8" i="6"/>
  <c r="G4" i="3"/>
  <c r="H12" i="2"/>
  <c r="C19" i="4"/>
  <c r="F8" i="3"/>
  <c r="J8" i="2"/>
  <c r="H31" i="3"/>
  <c r="I13" i="6"/>
  <c r="F6" i="4"/>
  <c r="F8" i="4"/>
  <c r="K6" i="6"/>
  <c r="F14" i="6"/>
  <c r="K4" i="6"/>
  <c r="J6" i="3"/>
  <c r="G10" i="3"/>
  <c r="F6" i="3"/>
  <c r="H13" i="5"/>
  <c r="K8" i="6"/>
  <c r="C42" i="5"/>
  <c r="H6" i="4"/>
  <c r="H7" i="4" s="1"/>
  <c r="H36" i="5"/>
  <c r="H42" i="6"/>
  <c r="H6" i="5"/>
  <c r="I8" i="6"/>
  <c r="I9" i="6" s="1"/>
  <c r="G12" i="5"/>
  <c r="C18" i="2"/>
  <c r="I6" i="4"/>
  <c r="G4" i="5"/>
  <c r="G14" i="5"/>
  <c r="J8" i="3"/>
  <c r="G10" i="6"/>
  <c r="F12" i="5"/>
  <c r="C40" i="6"/>
  <c r="C34" i="2"/>
  <c r="C25" i="5"/>
  <c r="G5" i="5"/>
  <c r="J8" i="5"/>
  <c r="H40" i="6"/>
  <c r="F9" i="6"/>
  <c r="K7" i="5"/>
  <c r="K11" i="5"/>
  <c r="C31" i="4"/>
  <c r="I14" i="6"/>
  <c r="J10" i="5"/>
  <c r="H30" i="5"/>
  <c r="K9" i="6"/>
  <c r="C21" i="5"/>
  <c r="C27" i="2"/>
  <c r="H26" i="4"/>
  <c r="C26" i="5"/>
  <c r="K5" i="6"/>
  <c r="J9" i="2"/>
  <c r="J10" i="3"/>
  <c r="I8" i="5"/>
  <c r="J11" i="5"/>
  <c r="G11" i="5"/>
  <c r="H10" i="4"/>
  <c r="I13" i="3"/>
  <c r="C26" i="2"/>
  <c r="F15" i="6"/>
  <c r="C26" i="6"/>
  <c r="H32" i="6"/>
  <c r="G12" i="4"/>
  <c r="K7" i="6"/>
  <c r="H5" i="5"/>
  <c r="J5" i="2"/>
  <c r="H30" i="3"/>
  <c r="F6" i="5"/>
  <c r="F7" i="5" s="1"/>
  <c r="C35" i="5"/>
  <c r="H37" i="6"/>
  <c r="C36" i="6"/>
  <c r="K10" i="6"/>
  <c r="H26" i="6"/>
  <c r="C30" i="2"/>
  <c r="C22" i="4"/>
  <c r="H42" i="5"/>
  <c r="K4" i="5"/>
  <c r="K5" i="5" s="1"/>
  <c r="G8" i="5"/>
  <c r="C22" i="2"/>
  <c r="F12" i="6"/>
  <c r="C27" i="5"/>
  <c r="H13" i="2"/>
  <c r="H30" i="6"/>
  <c r="C25" i="6"/>
  <c r="C30" i="6"/>
  <c r="H35" i="2"/>
  <c r="H31" i="5"/>
  <c r="C19" i="3"/>
  <c r="C40" i="5"/>
  <c r="H11" i="5"/>
  <c r="H25" i="5"/>
  <c r="H6" i="3"/>
  <c r="H7" i="3" s="1"/>
  <c r="C31" i="5"/>
  <c r="I8" i="3"/>
  <c r="I9" i="3" s="1"/>
  <c r="C18" i="3"/>
  <c r="J10" i="4"/>
  <c r="J7" i="3"/>
  <c r="C30" i="4"/>
  <c r="I12" i="2"/>
  <c r="G12" i="2"/>
  <c r="G13" i="2" s="1"/>
  <c r="I6" i="2"/>
  <c r="H19" i="2"/>
  <c r="H22" i="4"/>
  <c r="C34" i="3"/>
  <c r="H23" i="4"/>
  <c r="F10" i="4"/>
  <c r="J4" i="6"/>
  <c r="H4" i="4"/>
  <c r="H6" i="2"/>
  <c r="H22" i="2"/>
  <c r="C41" i="5"/>
  <c r="H34" i="3"/>
  <c r="C21" i="6"/>
  <c r="H26" i="3"/>
  <c r="H31" i="4"/>
  <c r="H4" i="2"/>
  <c r="F12" i="4"/>
  <c r="H26" i="2"/>
  <c r="H32" i="5"/>
  <c r="I7" i="4"/>
  <c r="F10" i="3"/>
  <c r="J9" i="3"/>
  <c r="G11" i="4"/>
  <c r="C20" i="5"/>
  <c r="H12" i="6"/>
  <c r="G4" i="6"/>
  <c r="G8" i="4"/>
  <c r="I12" i="5"/>
  <c r="H40" i="5"/>
  <c r="H22" i="6"/>
  <c r="H35" i="6"/>
  <c r="H26" i="5"/>
  <c r="J15" i="5"/>
  <c r="H15" i="6"/>
  <c r="F11" i="5"/>
  <c r="J6" i="5"/>
  <c r="J9" i="6"/>
  <c r="H13" i="3"/>
  <c r="H4" i="6"/>
  <c r="J14" i="6"/>
  <c r="C23" i="4"/>
  <c r="F8" i="5"/>
  <c r="H19" i="3"/>
  <c r="I5" i="6"/>
  <c r="F12" i="3"/>
  <c r="H18" i="2"/>
  <c r="H27" i="6"/>
  <c r="I14" i="5"/>
  <c r="G13" i="5"/>
  <c r="C35" i="3"/>
  <c r="H10" i="6"/>
  <c r="H10" i="2"/>
  <c r="H18" i="3"/>
  <c r="H21" i="6"/>
  <c r="G11" i="3"/>
  <c r="G10" i="2"/>
  <c r="I8" i="4"/>
  <c r="I6" i="6"/>
  <c r="J11" i="2"/>
  <c r="G8" i="6"/>
  <c r="H35" i="5"/>
  <c r="G12" i="6"/>
  <c r="H34" i="2"/>
  <c r="H20" i="5"/>
  <c r="J11" i="6"/>
  <c r="I13" i="4"/>
  <c r="C27" i="6"/>
  <c r="H22" i="5"/>
  <c r="F6" i="2"/>
  <c r="F7" i="2" s="1"/>
  <c r="F14" i="5"/>
  <c r="H37" i="5"/>
  <c r="C35" i="2"/>
  <c r="H12" i="4"/>
  <c r="F7" i="6"/>
  <c r="C30" i="3"/>
  <c r="J4" i="5"/>
  <c r="G15" i="5"/>
  <c r="H4" i="3"/>
  <c r="H41" i="5"/>
  <c r="H35" i="4"/>
  <c r="K11" i="6"/>
  <c r="G5" i="3"/>
  <c r="H27" i="3"/>
  <c r="I9" i="2"/>
  <c r="J9" i="5"/>
  <c r="C32" i="5"/>
  <c r="J6" i="4"/>
  <c r="H23" i="3"/>
  <c r="I4" i="5"/>
  <c r="G13" i="3"/>
  <c r="J7" i="6"/>
  <c r="F11" i="4"/>
  <c r="G13" i="4"/>
  <c r="H5" i="4"/>
  <c r="F9" i="3"/>
  <c r="G9" i="5"/>
  <c r="G5" i="4"/>
  <c r="G5" i="6"/>
  <c r="I7" i="5"/>
  <c r="F11" i="6"/>
  <c r="F9" i="4"/>
  <c r="H7" i="2"/>
  <c r="F7" i="4"/>
  <c r="J5" i="3"/>
  <c r="G9" i="2"/>
  <c r="H7" i="6"/>
  <c r="I9" i="4"/>
  <c r="F13" i="4"/>
  <c r="F11" i="2"/>
  <c r="F9" i="5"/>
  <c r="F13" i="2"/>
  <c r="F11" i="3"/>
  <c r="G13" i="6"/>
  <c r="I7" i="6"/>
  <c r="I7" i="3"/>
  <c r="J7" i="4"/>
  <c r="H5" i="2"/>
  <c r="I5" i="3"/>
  <c r="H5" i="6"/>
  <c r="J7" i="5"/>
  <c r="J5" i="6"/>
  <c r="I15" i="5"/>
  <c r="H11" i="3"/>
  <c r="G9" i="4"/>
  <c r="J9" i="4"/>
  <c r="H11" i="2"/>
  <c r="G11" i="6"/>
  <c r="G5" i="2"/>
  <c r="K13" i="6"/>
  <c r="F13" i="6"/>
  <c r="F13" i="5"/>
  <c r="K4" i="2" l="1"/>
  <c r="L5" i="2"/>
  <c r="L7" i="4"/>
  <c r="K6" i="4"/>
  <c r="K8" i="4"/>
  <c r="L9" i="4"/>
  <c r="M5" i="6"/>
  <c r="L4" i="6"/>
  <c r="K8" i="3"/>
  <c r="L9" i="3"/>
  <c r="M7" i="6"/>
  <c r="L6" i="6"/>
  <c r="M11" i="5"/>
  <c r="L10" i="5"/>
  <c r="L9" i="2"/>
  <c r="K8" i="2"/>
  <c r="H5" i="3"/>
  <c r="H13" i="4"/>
  <c r="G9" i="6"/>
  <c r="J15" i="6"/>
  <c r="H13" i="6"/>
  <c r="H11" i="4"/>
  <c r="H7" i="5"/>
  <c r="I5" i="5"/>
  <c r="J5" i="5"/>
  <c r="F15" i="5"/>
  <c r="G11" i="2"/>
  <c r="I7" i="2"/>
  <c r="I9" i="5"/>
  <c r="F7" i="3"/>
  <c r="I13" i="5"/>
  <c r="J7" i="2"/>
  <c r="H11" i="6"/>
  <c r="I13" i="2"/>
  <c r="J11" i="3"/>
  <c r="K9" i="5"/>
  <c r="H15" i="5"/>
  <c r="F13" i="3"/>
  <c r="J11" i="4"/>
  <c r="I15" i="6"/>
  <c r="I5" i="4"/>
  <c r="L5" i="4" l="1"/>
  <c r="K4" i="4"/>
  <c r="M15" i="6"/>
  <c r="L14" i="6"/>
  <c r="K12" i="3"/>
  <c r="L13" i="3"/>
  <c r="K10" i="3"/>
  <c r="L11" i="3"/>
  <c r="L13" i="2"/>
  <c r="K12" i="2"/>
  <c r="M11" i="6"/>
  <c r="L10" i="6"/>
  <c r="M13" i="5"/>
  <c r="L12" i="5"/>
  <c r="K6" i="3"/>
  <c r="L7" i="3"/>
  <c r="L8" i="5"/>
  <c r="M9" i="5"/>
  <c r="L7" i="2"/>
  <c r="K6" i="2"/>
  <c r="K10" i="2"/>
  <c r="L11" i="2"/>
  <c r="L14" i="5"/>
  <c r="M15" i="5"/>
  <c r="L4" i="5"/>
  <c r="M5" i="5"/>
  <c r="M7" i="5"/>
  <c r="L6" i="5"/>
  <c r="K10" i="4"/>
  <c r="L11" i="4"/>
  <c r="M13" i="6"/>
  <c r="L12" i="6"/>
  <c r="L8" i="6"/>
  <c r="M9" i="6"/>
  <c r="L13" i="4"/>
  <c r="K12" i="4"/>
  <c r="L5" i="3"/>
  <c r="K4" i="3"/>
</calcChain>
</file>

<file path=xl/sharedStrings.xml><?xml version="1.0" encoding="utf-8"?>
<sst xmlns="http://schemas.openxmlformats.org/spreadsheetml/2006/main" count="576" uniqueCount="232">
  <si>
    <t>Группа 5</t>
  </si>
  <si>
    <t>Команда</t>
  </si>
  <si>
    <t>победы</t>
  </si>
  <si>
    <t>доп</t>
  </si>
  <si>
    <t>место</t>
  </si>
  <si>
    <t/>
  </si>
  <si>
    <t>Игра турнира №</t>
  </si>
  <si>
    <t>Тур 1</t>
  </si>
  <si>
    <t>дор.</t>
  </si>
  <si>
    <t>Тур 2</t>
  </si>
  <si>
    <t>Тур 3</t>
  </si>
  <si>
    <t>Тур 4</t>
  </si>
  <si>
    <t>Тур 5</t>
  </si>
  <si>
    <t>Группа 4</t>
  </si>
  <si>
    <t>Группа 1</t>
  </si>
  <si>
    <t xml:space="preserve"> 1.1 </t>
  </si>
  <si>
    <t xml:space="preserve"> 1.2</t>
  </si>
  <si>
    <t xml:space="preserve"> 1.3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</si>
  <si>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</si>
  <si>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</si>
  <si>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</si>
  <si>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</si>
  <si>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</si>
  <si>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</si>
  <si>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4.1</t>
  </si>
  <si>
    <t xml:space="preserve"> 4.2</t>
  </si>
  <si>
    <t xml:space="preserve"> 4.3</t>
  </si>
  <si>
    <t xml:space="preserve"> 5.1</t>
  </si>
  <si>
    <t xml:space="preserve"> 5.3</t>
  </si>
  <si>
    <t xml:space="preserve"> 5.2</t>
  </si>
  <si>
    <t>16-я</t>
  </si>
  <si>
    <t>Кубок Б</t>
  </si>
  <si>
    <t>Вписать название!</t>
  </si>
  <si>
    <t>пара 2</t>
  </si>
  <si>
    <t>пара 1</t>
  </si>
  <si>
    <t>пара 3</t>
  </si>
  <si>
    <t>пара 4</t>
  </si>
  <si>
    <t>пара 5</t>
  </si>
  <si>
    <t>пара 6</t>
  </si>
  <si>
    <t>пара 7</t>
  </si>
  <si>
    <t>пара 8</t>
  </si>
  <si>
    <t xml:space="preserve"> 7 - 8</t>
  </si>
  <si>
    <t xml:space="preserve"> 9 - 10</t>
  </si>
  <si>
    <t xml:space="preserve"> 9- 10</t>
  </si>
  <si>
    <t xml:space="preserve"> 1- 2</t>
  </si>
  <si>
    <t xml:space="preserve"> 3- 4</t>
  </si>
  <si>
    <t>Плей-офф</t>
  </si>
  <si>
    <t xml:space="preserve"> 1/2 финала</t>
  </si>
  <si>
    <t>Финал</t>
  </si>
  <si>
    <t>Финал 3-4 место</t>
  </si>
  <si>
    <t xml:space="preserve"> 5- 6</t>
  </si>
  <si>
    <t xml:space="preserve"> 1-2</t>
  </si>
  <si>
    <t xml:space="preserve"> 7 -8</t>
  </si>
  <si>
    <t xml:space="preserve"> 5-6</t>
  </si>
  <si>
    <t xml:space="preserve"> 9 -10</t>
  </si>
  <si>
    <t>Полуфинал</t>
  </si>
  <si>
    <t>пара 8 и 1</t>
  </si>
  <si>
    <t>пара 2 и 5</t>
  </si>
  <si>
    <t>пара 3 и 4</t>
  </si>
  <si>
    <t>пара 6 и 7</t>
  </si>
  <si>
    <t xml:space="preserve">Временной регламент </t>
  </si>
  <si>
    <t>занято дорожек</t>
  </si>
  <si>
    <t xml:space="preserve"> 7-8</t>
  </si>
  <si>
    <t>Первый поток</t>
  </si>
  <si>
    <t>Второй</t>
  </si>
  <si>
    <t>Титаны</t>
  </si>
  <si>
    <t>AAA+ </t>
  </si>
  <si>
    <t>Buddy </t>
  </si>
  <si>
    <t>ВДВ</t>
  </si>
  <si>
    <t>Квазар</t>
  </si>
  <si>
    <t>Авант</t>
  </si>
  <si>
    <t>Черная мамба</t>
  </si>
  <si>
    <t>КонсультантПлюс </t>
  </si>
  <si>
    <t>Ниагара</t>
  </si>
  <si>
    <t>Петроградъ</t>
  </si>
  <si>
    <t>БИП </t>
  </si>
  <si>
    <t>Три толстяка и Ко </t>
  </si>
  <si>
    <t>Magnifique</t>
  </si>
  <si>
    <t>Валькирии</t>
  </si>
  <si>
    <t>Круг</t>
  </si>
  <si>
    <t>Бикар</t>
  </si>
  <si>
    <t>Торонто</t>
  </si>
  <si>
    <t>Экип Каскет</t>
  </si>
  <si>
    <t>Петергоф</t>
  </si>
  <si>
    <t>Монплезир </t>
  </si>
  <si>
    <t>Чатлане </t>
  </si>
  <si>
    <t>Джаз</t>
  </si>
  <si>
    <t>Бакфаст</t>
  </si>
  <si>
    <t>корзина 1</t>
  </si>
  <si>
    <t>корзина 2</t>
  </si>
  <si>
    <t>корзина 3</t>
  </si>
  <si>
    <t>1. Бадди</t>
  </si>
  <si>
    <t>2. ВДВ</t>
  </si>
  <si>
    <t>3. Авант</t>
  </si>
  <si>
    <t>4. Джазз</t>
  </si>
  <si>
    <t>5. Консультатн Плюс</t>
  </si>
  <si>
    <t>6. ААА+</t>
  </si>
  <si>
    <t>7. БИП</t>
  </si>
  <si>
    <t>8. Торонто</t>
  </si>
  <si>
    <t>9. Круг</t>
  </si>
  <si>
    <t>10. Петергоф</t>
  </si>
  <si>
    <t>11. Маяк - Артём С., Александр Поляков, А. Жака, Артем Эйкстер.</t>
  </si>
  <si>
    <t>12. Крабы pro - Кузнецова Л., Панова С., Педченко А.</t>
  </si>
  <si>
    <t>13. ВАЛЬКИРИИ</t>
  </si>
  <si>
    <t>14. Ниагара</t>
  </si>
  <si>
    <t>15. Монплезир</t>
  </si>
  <si>
    <t>16. Битлджус (Гурина, Михаленок, Матисон)</t>
  </si>
  <si>
    <t>17. "Гольф-Академия" Акаемовы Николай и Екатерина, Гришков Сергей.</t>
  </si>
  <si>
    <t>18. GALAXY (Капран Сергей, Овчинников Тимофей, Индаяти Лена)</t>
  </si>
  <si>
    <t>19. Самба (Артюхина, Курбанова, Базарев)</t>
  </si>
  <si>
    <t>21. Эльтаир (Захарова Лариса, Смирнова Ирина, Финка Татьяна)</t>
  </si>
  <si>
    <t>22. Новичок (Лукьянова Ирина, Коппа Нина, Гусев Евгений)</t>
  </si>
  <si>
    <t>23. Усы Надежды.</t>
  </si>
  <si>
    <t>24. Салют (Павлова Ирина, Бейгер Максим, Каргашин Илья, Федотов Николай)</t>
  </si>
  <si>
    <t>25. Купаж" : Жан-Марк Лавинь (Франция), Иван Багазеев (Томск), Николай Пиманов (Новороссийск)</t>
  </si>
  <si>
    <t>26. Бикар</t>
  </si>
  <si>
    <t>27. Оксана Полякова, Мария Волчек, Дмитрий Мишин.</t>
  </si>
  <si>
    <t>Рейтинг</t>
  </si>
  <si>
    <t>слепой жребий</t>
  </si>
  <si>
    <t>Жеребьевка</t>
  </si>
  <si>
    <t>2 корзина - на 1 место в группе.</t>
  </si>
  <si>
    <t>3 корзина - на 5 место в группе</t>
  </si>
  <si>
    <t>22:00 окончание</t>
  </si>
  <si>
    <r>
      <t xml:space="preserve">Тур 1           </t>
    </r>
    <r>
      <rPr>
        <sz val="16"/>
        <color theme="1"/>
        <rFont val="Calibri"/>
        <family val="2"/>
        <scheme val="minor"/>
      </rPr>
      <t>(4 игра турнира)</t>
    </r>
  </si>
  <si>
    <t>Группа 2 (второй поток)</t>
  </si>
  <si>
    <r>
      <t xml:space="preserve">Тур 2       </t>
    </r>
    <r>
      <rPr>
        <sz val="16"/>
        <color theme="1"/>
        <rFont val="Calibri"/>
        <family val="2"/>
        <scheme val="minor"/>
      </rPr>
      <t>( 5-я игра турнира)</t>
    </r>
  </si>
  <si>
    <t>Группа 3 (второй поток)</t>
  </si>
  <si>
    <t>7, 8</t>
  </si>
  <si>
    <t>7, 8, 9</t>
  </si>
  <si>
    <t>10, 1, 2</t>
  </si>
  <si>
    <t>9, 1</t>
  </si>
  <si>
    <t>2, 4</t>
  </si>
  <si>
    <t>5, 6</t>
  </si>
  <si>
    <t>1 , 2</t>
  </si>
  <si>
    <t>1, 2</t>
  </si>
  <si>
    <t>9, 10</t>
  </si>
  <si>
    <t>нет</t>
  </si>
  <si>
    <t>3, 4</t>
  </si>
  <si>
    <t>3, 4, 5</t>
  </si>
  <si>
    <t>6, 7, 8</t>
  </si>
  <si>
    <t>свободные дорожки для разминки</t>
  </si>
  <si>
    <t>1, 2, 3</t>
  </si>
  <si>
    <t>4, 7, 8</t>
  </si>
  <si>
    <t>Примечание!</t>
  </si>
  <si>
    <t>3, 4, 7</t>
  </si>
  <si>
    <t>5, 6, 8</t>
  </si>
  <si>
    <t>1 - 2, 5 -6</t>
  </si>
  <si>
    <t>3 -4, 7-8</t>
  </si>
  <si>
    <t>9-10, 5-6</t>
  </si>
  <si>
    <t>7-8, 3-4</t>
  </si>
  <si>
    <t>Время начала игры Примерно!</t>
  </si>
  <si>
    <r>
      <rPr>
        <u/>
        <sz val="16"/>
        <color theme="1"/>
        <rFont val="Calibri"/>
        <family val="2"/>
        <scheme val="minor"/>
      </rPr>
      <t>Группа 1</t>
    </r>
    <r>
      <rPr>
        <sz val="14"/>
        <color theme="1"/>
        <rFont val="Calibri"/>
        <family val="2"/>
        <charset val="204"/>
        <scheme val="minor"/>
      </rPr>
      <t xml:space="preserve">  (5 команд)</t>
    </r>
  </si>
  <si>
    <r>
      <rPr>
        <u/>
        <sz val="16"/>
        <color theme="1"/>
        <rFont val="Calibri"/>
        <family val="2"/>
        <scheme val="minor"/>
      </rPr>
      <t>Группа 4</t>
    </r>
    <r>
      <rPr>
        <sz val="14"/>
        <color theme="1"/>
        <rFont val="Calibri"/>
        <family val="2"/>
        <charset val="204"/>
        <scheme val="minor"/>
      </rPr>
      <t xml:space="preserve">  (6 команд)</t>
    </r>
  </si>
  <si>
    <r>
      <rPr>
        <u/>
        <sz val="16"/>
        <color theme="1"/>
        <rFont val="Calibri"/>
        <family val="2"/>
        <scheme val="minor"/>
      </rPr>
      <t>Группа 5</t>
    </r>
    <r>
      <rPr>
        <sz val="14"/>
        <color theme="1"/>
        <rFont val="Calibri"/>
        <family val="2"/>
        <charset val="204"/>
        <scheme val="minor"/>
      </rPr>
      <t xml:space="preserve">  (6 команд)</t>
    </r>
  </si>
  <si>
    <r>
      <rPr>
        <u/>
        <sz val="16"/>
        <color theme="1"/>
        <rFont val="Calibri"/>
        <family val="2"/>
        <scheme val="minor"/>
      </rPr>
      <t>Группа 2</t>
    </r>
    <r>
      <rPr>
        <sz val="14"/>
        <color theme="1"/>
        <rFont val="Calibri"/>
        <family val="2"/>
        <charset val="204"/>
        <scheme val="minor"/>
      </rPr>
      <t xml:space="preserve">  (5 команд)</t>
    </r>
  </si>
  <si>
    <r>
      <rPr>
        <u/>
        <sz val="16"/>
        <color theme="1"/>
        <rFont val="Calibri"/>
        <family val="2"/>
        <scheme val="minor"/>
      </rPr>
      <t>Группа 3</t>
    </r>
    <r>
      <rPr>
        <sz val="14"/>
        <color theme="1"/>
        <rFont val="Calibri"/>
        <family val="2"/>
        <charset val="204"/>
        <scheme val="minor"/>
      </rPr>
      <t xml:space="preserve">  (5 команд)</t>
    </r>
  </si>
  <si>
    <t>в таблице указаны время и номера дорожек, на которых играет ваша группа, дорожки указаны также в протоколе вашей группы</t>
  </si>
  <si>
    <t xml:space="preserve">  1- 2 </t>
  </si>
  <si>
    <t xml:space="preserve"> 5 - 6</t>
  </si>
  <si>
    <t xml:space="preserve"> 3 - 4</t>
  </si>
  <si>
    <t xml:space="preserve"> 3 -4</t>
  </si>
  <si>
    <r>
      <t xml:space="preserve">Тур 5       </t>
    </r>
    <r>
      <rPr>
        <b/>
        <sz val="12"/>
        <color theme="1"/>
        <rFont val="Calibri"/>
        <family val="2"/>
        <scheme val="minor"/>
      </rPr>
      <t xml:space="preserve"> ( 6-я игра турнира)</t>
    </r>
  </si>
  <si>
    <t>Бадди</t>
  </si>
  <si>
    <r>
      <t xml:space="preserve">1 корзина жеребится на 3 место в группе, </t>
    </r>
    <r>
      <rPr>
        <b/>
        <sz val="8"/>
        <color rgb="FF434343"/>
        <rFont val="Arial"/>
        <family val="2"/>
      </rPr>
      <t>Кроме Бадди, у которых номер 1 в первой группе (пропустят первую игру)</t>
    </r>
  </si>
  <si>
    <t>5 групп 27 команд, два потока.</t>
  </si>
  <si>
    <t>Лимит 70 мин</t>
  </si>
  <si>
    <t>Регламент турнира "Кубок Маяка" 11-12 декабря 2021г :</t>
  </si>
  <si>
    <t>16-я команда отбирается по вторым показателям:</t>
  </si>
  <si>
    <t xml:space="preserve">Количество побед по отношению к числу игр </t>
  </si>
  <si>
    <t>Разница набранных и упущенных очков.</t>
  </si>
  <si>
    <t xml:space="preserve"> 3.4</t>
  </si>
  <si>
    <t>Личная встреча</t>
  </si>
  <si>
    <t>Результат игры с первым местом в группе/ результат игры по сумме 1+2 место в группе</t>
  </si>
  <si>
    <t>Началало турнира оба дня в 10 утра, регистрация команд и оплата турнирного взноса до 9:45.</t>
  </si>
  <si>
    <t xml:space="preserve">К участию допускаются 27 команд по предварительной регистрации. </t>
  </si>
  <si>
    <t>Турнирный взнос 600р с игрока.</t>
  </si>
  <si>
    <t>Главный судья соревнований Евгений Осокин, секретарь Трофимова Татьяна (регистрация, контроль времени и оплата питания).</t>
  </si>
  <si>
    <t>Место в группах</t>
  </si>
  <si>
    <t xml:space="preserve"> 1.1</t>
  </si>
  <si>
    <t>2 поток</t>
  </si>
  <si>
    <t>1 поток</t>
  </si>
  <si>
    <t xml:space="preserve"> Во второй поток будут посеяны Валькирия и Маяк, в первый поток- Бикар. Все команды с регион игроками, по спец причинам.</t>
  </si>
  <si>
    <t xml:space="preserve"> * 3.1 - группа 3 место 1 в таблице, в группе</t>
  </si>
  <si>
    <t>Призы. Три первых места в каждом Кубке получают: памятные кубки (каждый член команды) и медали за 4 место.</t>
  </si>
  <si>
    <t>20. Титаны +</t>
  </si>
  <si>
    <t>1 группа</t>
  </si>
  <si>
    <t>2 группа</t>
  </si>
  <si>
    <t>3 группа</t>
  </si>
  <si>
    <t>4 группа</t>
  </si>
  <si>
    <t>5 группа</t>
  </si>
  <si>
    <t>Результаты жеребьевки</t>
  </si>
  <si>
    <t>Салют</t>
  </si>
  <si>
    <t>Самба</t>
  </si>
  <si>
    <t>Новичок</t>
  </si>
  <si>
    <t>ААА+</t>
  </si>
  <si>
    <t>Усы Надежды</t>
  </si>
  <si>
    <t>Монплезир</t>
  </si>
  <si>
    <t>Гольф Академия</t>
  </si>
  <si>
    <t>Купаж</t>
  </si>
  <si>
    <t>Титаны +</t>
  </si>
  <si>
    <t>БИП</t>
  </si>
  <si>
    <t>Эльтаир</t>
  </si>
  <si>
    <t>Маяк</t>
  </si>
  <si>
    <t>Джазз</t>
  </si>
  <si>
    <t>Битлджус</t>
  </si>
  <si>
    <t>Консультант+</t>
  </si>
  <si>
    <t>Крабы</t>
  </si>
  <si>
    <t>Галакси</t>
  </si>
  <si>
    <r>
      <t xml:space="preserve">Пропустят первую игру во втором потоке: </t>
    </r>
    <r>
      <rPr>
        <sz val="11"/>
        <color rgb="FF0070C0"/>
        <rFont val="Calibri"/>
        <family val="2"/>
        <charset val="204"/>
        <scheme val="minor"/>
      </rPr>
      <t>Валькирии и БИП, вам прибыть к 15:30.</t>
    </r>
  </si>
  <si>
    <r>
      <t>в этой игре в группе 4 и 5 отдыхают команды</t>
    </r>
    <r>
      <rPr>
        <sz val="11"/>
        <color rgb="FF0070C0"/>
        <rFont val="Calibri"/>
        <family val="2"/>
        <charset val="204"/>
        <scheme val="minor"/>
      </rPr>
      <t xml:space="preserve"> Круг, Ниагара, Усы Надежды, Крабы</t>
    </r>
    <r>
      <rPr>
        <sz val="11"/>
        <color theme="1"/>
        <rFont val="Calibri"/>
        <family val="2"/>
        <charset val="204"/>
        <scheme val="minor"/>
      </rPr>
      <t>. (номер в группе 1 и 4)</t>
    </r>
  </si>
  <si>
    <r>
      <t xml:space="preserve">в этой игре в группе 4 и 5 отдыхают команды: </t>
    </r>
    <r>
      <rPr>
        <sz val="11"/>
        <color rgb="FF0070C0"/>
        <rFont val="Calibri"/>
        <family val="2"/>
        <charset val="204"/>
        <scheme val="minor"/>
      </rPr>
      <t>Новичок, "27", ААА+, Консультант+, Монплезир, Торонто, Галакси, Битллджус</t>
    </r>
    <r>
      <rPr>
        <sz val="11"/>
        <color theme="1"/>
        <rFont val="Calibri"/>
        <family val="2"/>
        <charset val="204"/>
        <scheme val="minor"/>
      </rPr>
      <t>.  (номер в группе 6 и 5, 2 и 3)</t>
    </r>
  </si>
  <si>
    <t>(2 победы в группе из 5 команд это 2/4=0,5, а в группе 6команд 2/5=0,4, определенное преимущество у команд в группах по 5 команд.</t>
  </si>
  <si>
    <t xml:space="preserve"> Но! У команд в группе "6" есть возможность набрать больше побед.)</t>
  </si>
  <si>
    <r>
      <rPr>
        <b/>
        <sz val="11"/>
        <color theme="1"/>
        <rFont val="Calibri"/>
        <family val="2"/>
        <scheme val="minor"/>
      </rPr>
      <t>Первый этап</t>
    </r>
    <r>
      <rPr>
        <sz val="11"/>
        <color theme="1"/>
        <rFont val="Calibri"/>
        <family val="2"/>
        <charset val="204"/>
        <scheme val="minor"/>
      </rPr>
      <t xml:space="preserve">- групповой отбор, круговая. 5 групп по 5 или 6 команд в группе. </t>
    </r>
  </si>
  <si>
    <t>3 лучшие команды из каждой группы выходят в плей-офф второго дня. Итого 15 команд.</t>
  </si>
  <si>
    <r>
      <rPr>
        <b/>
        <sz val="11"/>
        <color theme="1"/>
        <rFont val="Calibri"/>
        <family val="2"/>
        <scheme val="minor"/>
      </rPr>
      <t>Второй этап</t>
    </r>
    <r>
      <rPr>
        <sz val="11"/>
        <color theme="1"/>
        <rFont val="Calibri"/>
        <family val="2"/>
        <charset val="204"/>
        <scheme val="minor"/>
      </rPr>
      <t xml:space="preserve">. Плей-офф. 16 команд играют утреннюю первую встречу. Победители в кубок А, проигравшие в кубок Б. </t>
    </r>
  </si>
  <si>
    <t>Порядок встреч определен заранее протокол "Плей офф 16"</t>
  </si>
  <si>
    <r>
      <rPr>
        <b/>
        <sz val="11"/>
        <color theme="1"/>
        <rFont val="Calibri"/>
        <family val="2"/>
        <scheme val="minor"/>
      </rPr>
      <t>Третий этап</t>
    </r>
    <r>
      <rPr>
        <sz val="11"/>
        <color theme="1"/>
        <rFont val="Calibri"/>
        <family val="2"/>
        <charset val="204"/>
        <scheme val="minor"/>
      </rPr>
      <t>. Розыгрыш мест в кубках А и Б. Порядок игр расписан заранее в протоколах "Плей офф 16" и "Кубок Б".</t>
    </r>
  </si>
  <si>
    <t xml:space="preserve"> Финал безлимитный. Время полуфинала может быть увеличено главным судьей.</t>
  </si>
  <si>
    <t xml:space="preserve">Жеребьвка пройдет 9.12 в прямом эфире ФБ. Сеянные игроки перечислены во вкладке "Жеребьевка". </t>
  </si>
  <si>
    <t xml:space="preserve">До жеребьевки назначеног место 1.1 команды организаторов- Бадди (пропустит первую игру). </t>
  </si>
  <si>
    <t>Справочно:</t>
  </si>
  <si>
    <t>Первый поток, играют с 10:00</t>
  </si>
  <si>
    <t>Второй поток, игры примерно с 14:30, ждем к 14 часам</t>
  </si>
  <si>
    <t>Бип</t>
  </si>
  <si>
    <t>Титаны+</t>
  </si>
  <si>
    <t>отдых 4 игра</t>
  </si>
  <si>
    <t>отдых 5 игра</t>
  </si>
  <si>
    <t>Лимит игр 70 мин, без дополнительного кошонета. НИЧЬИ НЕВОЗМОЖНЫ,  Лимит может быть пересмотрен, если количество команд по факту составит 25 и менее.</t>
  </si>
  <si>
    <t>ПЛЕЙ ОФФ</t>
  </si>
  <si>
    <t>прошли в Плей - оф</t>
  </si>
  <si>
    <t>2 победы в группе 5 команд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</si>
</sst>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#;\-##;0"/>
    <numFmt numFmtId="165" formatCode="\+##;\-##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36"/>
      <color indexed="8"/>
      <name val="Calibri Light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7"/>
      <color rgb="FF4C4C4C"/>
      <name val="Trebuchet MS"/>
      <family val="2"/>
    </font>
    <font>
      <sz val="8"/>
      <name val="Calibri"/>
      <family val="2"/>
      <charset val="204"/>
      <scheme val="minor"/>
    </font>
    <font>
      <b/>
      <sz val="7"/>
      <color rgb="FF4C4C4C"/>
      <name val="Trebuchet MS"/>
      <family val="2"/>
    </font>
    <font>
      <sz val="8"/>
      <color rgb="FF434343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434343"/>
      <name val="Arial"/>
      <family val="2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16" fontId="0" fillId="0" borderId="0" xfId="0" applyNumberFormat="1" applyAlignment="1">
      <alignment vertical="center"/>
    </xf>
    <xf numFmtId="1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6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7" borderId="46" xfId="0" applyFont="1" applyFill="1" applyBorder="1" applyAlignment="1">
      <alignment horizontal="left" vertical="center" wrapText="1"/>
    </xf>
    <xf numFmtId="0" fontId="0" fillId="7" borderId="47" xfId="0" applyFill="1" applyBorder="1" applyAlignment="1">
      <alignment horizontal="left"/>
    </xf>
    <xf numFmtId="0" fontId="9" fillId="3" borderId="4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0" fontId="7" fillId="0" borderId="0" xfId="0" applyFont="1"/>
    <xf numFmtId="0" fontId="7" fillId="0" borderId="44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20" fontId="7" fillId="0" borderId="9" xfId="0" applyNumberFormat="1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20" fontId="7" fillId="0" borderId="16" xfId="0" applyNumberFormat="1" applyFont="1" applyBorder="1"/>
    <xf numFmtId="20" fontId="7" fillId="0" borderId="23" xfId="0" applyNumberFormat="1" applyFont="1" applyBorder="1"/>
    <xf numFmtId="20" fontId="7" fillId="0" borderId="1" xfId="0" applyNumberFormat="1" applyFont="1" applyBorder="1"/>
    <xf numFmtId="0" fontId="16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inden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49" xfId="0" applyBorder="1"/>
    <xf numFmtId="0" fontId="0" fillId="3" borderId="13" xfId="0" applyFill="1" applyBorder="1"/>
    <xf numFmtId="0" fontId="0" fillId="3" borderId="27" xfId="0" applyFill="1" applyBorder="1"/>
    <xf numFmtId="0" fontId="0" fillId="0" borderId="13" xfId="0" applyBorder="1"/>
    <xf numFmtId="0" fontId="0" fillId="0" borderId="27" xfId="0" applyFill="1" applyBorder="1"/>
    <xf numFmtId="0" fontId="20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9" fillId="7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vertical="center"/>
    </xf>
    <xf numFmtId="0" fontId="0" fillId="0" borderId="4" xfId="0" applyBorder="1"/>
    <xf numFmtId="0" fontId="0" fillId="0" borderId="50" xfId="0" applyBorder="1"/>
    <xf numFmtId="0" fontId="0" fillId="0" borderId="28" xfId="0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9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21" fillId="3" borderId="12" xfId="0" applyFont="1" applyFill="1" applyBorder="1"/>
    <xf numFmtId="0" fontId="21" fillId="3" borderId="19" xfId="0" applyFont="1" applyFill="1" applyBorder="1"/>
    <xf numFmtId="0" fontId="21" fillId="3" borderId="26" xfId="0" applyFont="1" applyFill="1" applyBorder="1"/>
    <xf numFmtId="0" fontId="21" fillId="0" borderId="12" xfId="0" applyFont="1" applyBorder="1"/>
    <xf numFmtId="0" fontId="21" fillId="0" borderId="19" xfId="0" applyFont="1" applyBorder="1"/>
    <xf numFmtId="0" fontId="21" fillId="0" borderId="26" xfId="0" applyFont="1" applyFill="1" applyBorder="1"/>
    <xf numFmtId="0" fontId="21" fillId="0" borderId="49" xfId="0" applyFont="1" applyBorder="1"/>
    <xf numFmtId="0" fontId="21" fillId="0" borderId="1" xfId="0" applyFont="1" applyBorder="1"/>
    <xf numFmtId="0" fontId="2" fillId="0" borderId="0" xfId="0" applyFont="1"/>
    <xf numFmtId="0" fontId="25" fillId="0" borderId="1" xfId="0" applyFont="1" applyFill="1" applyBorder="1" applyAlignment="1">
      <alignment horizontal="center" vertical="center" wrapText="1"/>
    </xf>
    <xf numFmtId="0" fontId="9" fillId="3" borderId="53" xfId="0" applyFont="1" applyFill="1" applyBorder="1"/>
    <xf numFmtId="0" fontId="9" fillId="3" borderId="48" xfId="0" applyFont="1" applyFill="1" applyBorder="1"/>
    <xf numFmtId="0" fontId="9" fillId="3" borderId="54" xfId="0" applyFont="1" applyFill="1" applyBorder="1"/>
    <xf numFmtId="0" fontId="9" fillId="0" borderId="53" xfId="0" applyFont="1" applyBorder="1"/>
    <xf numFmtId="0" fontId="9" fillId="0" borderId="48" xfId="0" applyFont="1" applyBorder="1"/>
    <xf numFmtId="0" fontId="11" fillId="0" borderId="54" xfId="0" applyFont="1" applyFill="1" applyBorder="1"/>
    <xf numFmtId="0" fontId="9" fillId="0" borderId="40" xfId="0" applyFont="1" applyFill="1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3" borderId="14" xfId="0" applyFill="1" applyBorder="1"/>
    <xf numFmtId="16" fontId="0" fillId="8" borderId="58" xfId="0" applyNumberFormat="1" applyFill="1" applyBorder="1"/>
    <xf numFmtId="0" fontId="0" fillId="3" borderId="20" xfId="0" applyFill="1" applyBorder="1"/>
    <xf numFmtId="0" fontId="0" fillId="3" borderId="28" xfId="0" applyFill="1" applyBorder="1"/>
    <xf numFmtId="0" fontId="0" fillId="0" borderId="14" xfId="0" applyBorder="1"/>
    <xf numFmtId="0" fontId="0" fillId="0" borderId="20" xfId="0" applyBorder="1"/>
    <xf numFmtId="0" fontId="0" fillId="0" borderId="28" xfId="0" applyFill="1" applyBorder="1"/>
    <xf numFmtId="0" fontId="0" fillId="0" borderId="37" xfId="0" applyFill="1" applyBorder="1"/>
    <xf numFmtId="0" fontId="0" fillId="0" borderId="59" xfId="0" applyBorder="1"/>
    <xf numFmtId="0" fontId="21" fillId="0" borderId="27" xfId="0" applyFont="1" applyBorder="1"/>
    <xf numFmtId="0" fontId="0" fillId="0" borderId="28" xfId="0" applyBorder="1"/>
    <xf numFmtId="0" fontId="26" fillId="2" borderId="0" xfId="0" applyFont="1" applyFill="1" applyBorder="1" applyAlignment="1">
      <alignment horizontal="center"/>
    </xf>
    <xf numFmtId="0" fontId="0" fillId="0" borderId="16" xfId="0" applyBorder="1"/>
    <xf numFmtId="0" fontId="22" fillId="2" borderId="19" xfId="0" applyFont="1" applyFill="1" applyBorder="1"/>
    <xf numFmtId="0" fontId="22" fillId="2" borderId="1" xfId="0" applyFont="1" applyFill="1" applyBorder="1"/>
    <xf numFmtId="0" fontId="22" fillId="2" borderId="20" xfId="0" applyFont="1" applyFill="1" applyBorder="1"/>
    <xf numFmtId="0" fontId="22" fillId="2" borderId="17" xfId="0" applyFont="1" applyFill="1" applyBorder="1"/>
    <xf numFmtId="0" fontId="22" fillId="2" borderId="48" xfId="0" applyFont="1" applyFill="1" applyBorder="1"/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17" xfId="0" applyFill="1" applyBorder="1"/>
    <xf numFmtId="0" fontId="0" fillId="0" borderId="48" xfId="0" applyFill="1" applyBorder="1" applyAlignment="1">
      <alignment horizontal="center"/>
    </xf>
    <xf numFmtId="0" fontId="0" fillId="0" borderId="48" xfId="0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0" xfId="0" applyFill="1" applyBorder="1"/>
    <xf numFmtId="0" fontId="21" fillId="0" borderId="22" xfId="0" applyFont="1" applyFill="1" applyBorder="1"/>
    <xf numFmtId="0" fontId="0" fillId="0" borderId="39" xfId="0" applyFill="1" applyBorder="1"/>
    <xf numFmtId="0" fontId="9" fillId="0" borderId="62" xfId="0" applyFont="1" applyFill="1" applyBorder="1"/>
    <xf numFmtId="0" fontId="0" fillId="0" borderId="63" xfId="0" applyFill="1" applyBorder="1"/>
    <xf numFmtId="0" fontId="0" fillId="0" borderId="39" xfId="0" applyBorder="1" applyAlignme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4" fillId="0" borderId="0" xfId="0" applyFont="1"/>
    <xf numFmtId="16" fontId="2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0" fillId="3" borderId="1" xfId="0" applyFill="1" applyBorder="1" applyAlignment="1">
      <alignment horizontal="right" indent="1"/>
    </xf>
    <xf numFmtId="0" fontId="28" fillId="3" borderId="1" xfId="0" applyFont="1" applyFill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30" fillId="0" borderId="0" xfId="0" applyFont="1" applyAlignment="1"/>
    <xf numFmtId="0" fontId="24" fillId="0" borderId="0" xfId="0" applyFont="1" applyAlignment="1"/>
    <xf numFmtId="0" fontId="30" fillId="0" borderId="1" xfId="0" applyFont="1" applyBorder="1" applyAlignment="1">
      <alignment vertical="center"/>
    </xf>
    <xf numFmtId="0" fontId="30" fillId="3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 indent="1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64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0" fontId="3" fillId="6" borderId="0" xfId="0" applyFont="1" applyFill="1"/>
    <xf numFmtId="0" fontId="7" fillId="0" borderId="1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0" fontId="26" fillId="6" borderId="30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26" fillId="3" borderId="60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left" vertical="center" wrapText="1" inden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 indent="1"/>
    </xf>
    <xf numFmtId="0" fontId="24" fillId="0" borderId="10" xfId="0" applyFont="1" applyFill="1" applyBorder="1" applyAlignment="1">
      <alignment horizontal="left" vertical="center" wrapText="1" inden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6" xfId="0" applyFont="1" applyFill="1" applyBorder="1" applyAlignment="1">
      <alignment horizontal="left" vertical="center" wrapText="1" indent="1"/>
    </xf>
    <xf numFmtId="0" fontId="24" fillId="0" borderId="17" xfId="0" applyFont="1" applyFill="1" applyBorder="1" applyAlignment="1">
      <alignment horizontal="left" vertical="center" wrapText="1" indent="1"/>
    </xf>
    <xf numFmtId="0" fontId="24" fillId="0" borderId="18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 wrapText="1" indent="1"/>
    </xf>
    <xf numFmtId="0" fontId="24" fillId="0" borderId="24" xfId="0" applyFont="1" applyFill="1" applyBorder="1" applyAlignment="1">
      <alignment horizontal="left" vertical="center" wrapText="1" indent="1"/>
    </xf>
    <xf numFmtId="0" fontId="24" fillId="0" borderId="25" xfId="0" applyFont="1" applyFill="1" applyBorder="1" applyAlignment="1">
      <alignment horizontal="left" vertical="center" wrapText="1" indent="1"/>
    </xf>
    <xf numFmtId="0" fontId="3" fillId="0" borderId="26" xfId="0" applyFont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4" fillId="3" borderId="30" xfId="0" applyFont="1" applyFill="1" applyBorder="1" applyAlignment="1">
      <alignment horizontal="center"/>
    </xf>
    <xf numFmtId="0" fontId="24" fillId="3" borderId="31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16" fontId="2" fillId="0" borderId="3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4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7FB3-E184-4295-8754-FFCB9DF77395}">
  <dimension ref="A1:J38"/>
  <sheetViews>
    <sheetView topLeftCell="A18" workbookViewId="0">
      <selection activeCell="J33" sqref="J33"/>
    </sheetView>
  </sheetViews>
  <sheetFormatPr defaultRowHeight="14.4" x14ac:dyDescent="0.3"/>
  <cols>
    <col min="1" max="1" width="8.44140625" customWidth="1"/>
    <col min="2" max="2" width="14.109375" customWidth="1"/>
    <col min="3" max="3" width="14.33203125" customWidth="1"/>
    <col min="4" max="7" width="14" customWidth="1"/>
    <col min="9" max="9" width="15.5546875" customWidth="1"/>
    <col min="10" max="10" width="51.88671875" customWidth="1"/>
    <col min="12" max="12" width="2.44140625" customWidth="1"/>
  </cols>
  <sheetData>
    <row r="1" spans="1:3" ht="21" x14ac:dyDescent="0.4">
      <c r="A1" s="83" t="s">
        <v>166</v>
      </c>
    </row>
    <row r="2" spans="1:3" x14ac:dyDescent="0.3">
      <c r="A2">
        <v>1</v>
      </c>
      <c r="B2" t="s">
        <v>174</v>
      </c>
    </row>
    <row r="3" spans="1:3" x14ac:dyDescent="0.3">
      <c r="A3">
        <v>2</v>
      </c>
      <c r="B3" t="s">
        <v>173</v>
      </c>
    </row>
    <row r="4" spans="1:3" x14ac:dyDescent="0.3">
      <c r="A4">
        <v>3</v>
      </c>
      <c r="B4" s="84" t="s">
        <v>213</v>
      </c>
    </row>
    <row r="5" spans="1:3" x14ac:dyDescent="0.3">
      <c r="B5" s="84"/>
      <c r="C5" t="s">
        <v>214</v>
      </c>
    </row>
    <row r="6" spans="1:3" x14ac:dyDescent="0.3">
      <c r="A6">
        <v>4</v>
      </c>
      <c r="B6" t="s">
        <v>167</v>
      </c>
    </row>
    <row r="7" spans="1:3" x14ac:dyDescent="0.3">
      <c r="B7" s="60" t="s">
        <v>21</v>
      </c>
      <c r="C7" t="s">
        <v>168</v>
      </c>
    </row>
    <row r="8" spans="1:3" x14ac:dyDescent="0.3">
      <c r="C8" t="s">
        <v>211</v>
      </c>
    </row>
    <row r="9" spans="1:3" x14ac:dyDescent="0.3">
      <c r="C9" t="s">
        <v>212</v>
      </c>
    </row>
    <row r="10" spans="1:3" x14ac:dyDescent="0.3">
      <c r="B10" s="60" t="s">
        <v>22</v>
      </c>
      <c r="C10" t="s">
        <v>171</v>
      </c>
    </row>
    <row r="11" spans="1:3" x14ac:dyDescent="0.3">
      <c r="B11" s="60" t="s">
        <v>23</v>
      </c>
      <c r="C11" t="s">
        <v>169</v>
      </c>
    </row>
    <row r="12" spans="1:3" x14ac:dyDescent="0.3">
      <c r="B12" s="60" t="s">
        <v>170</v>
      </c>
      <c r="C12" t="s">
        <v>172</v>
      </c>
    </row>
    <row r="13" spans="1:3" x14ac:dyDescent="0.3">
      <c r="A13">
        <v>5</v>
      </c>
      <c r="B13" s="22" t="s">
        <v>228</v>
      </c>
    </row>
    <row r="14" spans="1:3" x14ac:dyDescent="0.3">
      <c r="A14">
        <v>6</v>
      </c>
      <c r="B14" s="85" t="s">
        <v>215</v>
      </c>
    </row>
    <row r="15" spans="1:3" x14ac:dyDescent="0.3">
      <c r="B15" s="85"/>
      <c r="C15" t="s">
        <v>216</v>
      </c>
    </row>
    <row r="16" spans="1:3" x14ac:dyDescent="0.3">
      <c r="A16">
        <v>7</v>
      </c>
      <c r="B16" s="85" t="s">
        <v>217</v>
      </c>
    </row>
    <row r="17" spans="1:10" x14ac:dyDescent="0.3">
      <c r="B17" s="85"/>
      <c r="C17" t="s">
        <v>218</v>
      </c>
    </row>
    <row r="18" spans="1:10" x14ac:dyDescent="0.3">
      <c r="A18">
        <v>8</v>
      </c>
      <c r="B18" s="22" t="s">
        <v>183</v>
      </c>
    </row>
    <row r="19" spans="1:10" x14ac:dyDescent="0.3">
      <c r="A19">
        <v>9</v>
      </c>
      <c r="B19" s="22" t="s">
        <v>175</v>
      </c>
    </row>
    <row r="20" spans="1:10" x14ac:dyDescent="0.3">
      <c r="A20">
        <v>10</v>
      </c>
      <c r="B20" s="22" t="s">
        <v>219</v>
      </c>
    </row>
    <row r="21" spans="1:10" x14ac:dyDescent="0.3">
      <c r="B21" s="22"/>
      <c r="C21" t="s">
        <v>220</v>
      </c>
    </row>
    <row r="22" spans="1:10" x14ac:dyDescent="0.3">
      <c r="B22" s="22" t="s">
        <v>181</v>
      </c>
    </row>
    <row r="23" spans="1:10" x14ac:dyDescent="0.3">
      <c r="A23">
        <v>11</v>
      </c>
      <c r="B23" s="22" t="s">
        <v>176</v>
      </c>
    </row>
    <row r="24" spans="1:10" x14ac:dyDescent="0.3">
      <c r="B24" s="22"/>
    </row>
    <row r="25" spans="1:10" ht="21" x14ac:dyDescent="0.4">
      <c r="A25" s="83" t="s">
        <v>60</v>
      </c>
      <c r="B25" s="61"/>
      <c r="C25" s="61"/>
      <c r="D25" s="61" t="s">
        <v>164</v>
      </c>
      <c r="E25" s="61"/>
      <c r="F25" s="61"/>
      <c r="G25" s="61"/>
      <c r="H25" s="61"/>
    </row>
    <row r="26" spans="1:10" ht="18" x14ac:dyDescent="0.35">
      <c r="A26" s="61"/>
      <c r="B26" s="61"/>
      <c r="C26" s="61"/>
      <c r="D26" s="61"/>
      <c r="E26" s="61"/>
      <c r="F26" s="61"/>
      <c r="G26" s="61"/>
      <c r="H26" s="61"/>
    </row>
    <row r="27" spans="1:10" ht="18" x14ac:dyDescent="0.35">
      <c r="A27" s="61" t="s">
        <v>165</v>
      </c>
      <c r="B27" s="61"/>
      <c r="C27" s="196" t="s">
        <v>63</v>
      </c>
      <c r="D27" s="197"/>
      <c r="E27" s="198"/>
      <c r="F27" s="199" t="s">
        <v>64</v>
      </c>
      <c r="G27" s="200"/>
      <c r="H27" s="61"/>
      <c r="J27" s="59"/>
    </row>
    <row r="28" spans="1:10" ht="72.599999999999994" thickBot="1" x14ac:dyDescent="0.4">
      <c r="A28" s="62" t="s">
        <v>6</v>
      </c>
      <c r="B28" s="63" t="s">
        <v>150</v>
      </c>
      <c r="C28" s="72" t="s">
        <v>151</v>
      </c>
      <c r="D28" s="72" t="s">
        <v>152</v>
      </c>
      <c r="E28" s="72" t="s">
        <v>153</v>
      </c>
      <c r="F28" s="72" t="s">
        <v>154</v>
      </c>
      <c r="G28" s="72" t="s">
        <v>155</v>
      </c>
      <c r="H28" s="64" t="s">
        <v>61</v>
      </c>
      <c r="I28" s="24" t="s">
        <v>140</v>
      </c>
      <c r="J28" s="109" t="s">
        <v>143</v>
      </c>
    </row>
    <row r="29" spans="1:10" ht="29.4" x14ac:dyDescent="0.35">
      <c r="A29" s="86">
        <v>1</v>
      </c>
      <c r="B29" s="65">
        <v>0.41666666666666669</v>
      </c>
      <c r="C29" s="66" t="s">
        <v>134</v>
      </c>
      <c r="D29" s="66" t="s">
        <v>138</v>
      </c>
      <c r="E29" s="66" t="s">
        <v>139</v>
      </c>
      <c r="F29" s="67"/>
      <c r="G29" s="67"/>
      <c r="H29" s="68">
        <v>8</v>
      </c>
      <c r="I29" s="75" t="s">
        <v>135</v>
      </c>
      <c r="J29" s="24" t="s">
        <v>208</v>
      </c>
    </row>
    <row r="30" spans="1:10" ht="18" x14ac:dyDescent="0.35">
      <c r="A30" s="87">
        <v>2</v>
      </c>
      <c r="B30" s="69">
        <v>0.47916666666666669</v>
      </c>
      <c r="C30" s="66" t="s">
        <v>137</v>
      </c>
      <c r="D30" s="66" t="s">
        <v>128</v>
      </c>
      <c r="E30" s="66" t="s">
        <v>129</v>
      </c>
      <c r="F30" s="67"/>
      <c r="G30" s="67"/>
      <c r="H30" s="68">
        <v>8</v>
      </c>
      <c r="I30" s="75" t="s">
        <v>132</v>
      </c>
      <c r="J30" s="25"/>
    </row>
    <row r="31" spans="1:10" ht="18.600000000000001" thickBot="1" x14ac:dyDescent="0.4">
      <c r="A31" s="88">
        <v>3</v>
      </c>
      <c r="B31" s="70">
        <v>0.54166666666666663</v>
      </c>
      <c r="C31" s="66" t="s">
        <v>132</v>
      </c>
      <c r="D31" s="66" t="s">
        <v>141</v>
      </c>
      <c r="E31" s="66" t="s">
        <v>142</v>
      </c>
      <c r="F31" s="67"/>
      <c r="G31" s="67"/>
      <c r="H31" s="68">
        <v>8</v>
      </c>
      <c r="I31" s="75" t="s">
        <v>135</v>
      </c>
      <c r="J31" s="25"/>
    </row>
    <row r="32" spans="1:10" ht="43.8" x14ac:dyDescent="0.35">
      <c r="A32" s="66">
        <v>4</v>
      </c>
      <c r="B32" s="71">
        <v>0.60416666666666663</v>
      </c>
      <c r="C32" s="66" t="s">
        <v>127</v>
      </c>
      <c r="D32" s="66">
        <v>10</v>
      </c>
      <c r="E32" s="66">
        <v>3</v>
      </c>
      <c r="F32" s="66" t="s">
        <v>130</v>
      </c>
      <c r="G32" s="66" t="s">
        <v>131</v>
      </c>
      <c r="H32" s="68">
        <v>8</v>
      </c>
      <c r="I32" s="75" t="s">
        <v>132</v>
      </c>
      <c r="J32" s="24" t="s">
        <v>210</v>
      </c>
    </row>
    <row r="33" spans="1:10" ht="29.4" x14ac:dyDescent="0.35">
      <c r="A33" s="66">
        <v>5</v>
      </c>
      <c r="B33" s="71">
        <v>0.66666666666666663</v>
      </c>
      <c r="C33" s="66" t="s">
        <v>135</v>
      </c>
      <c r="D33" s="66" t="s">
        <v>132</v>
      </c>
      <c r="E33" s="66" t="s">
        <v>134</v>
      </c>
      <c r="F33" s="66" t="s">
        <v>137</v>
      </c>
      <c r="G33" s="66" t="s">
        <v>127</v>
      </c>
      <c r="H33" s="68">
        <v>10</v>
      </c>
      <c r="I33" s="76" t="s">
        <v>136</v>
      </c>
      <c r="J33" s="24" t="s">
        <v>209</v>
      </c>
    </row>
    <row r="34" spans="1:10" ht="18" x14ac:dyDescent="0.35">
      <c r="A34" s="66">
        <v>6</v>
      </c>
      <c r="B34" s="71">
        <v>0.72916666666666663</v>
      </c>
      <c r="C34" s="67"/>
      <c r="D34" s="66" t="s">
        <v>144</v>
      </c>
      <c r="E34" s="66" t="s">
        <v>145</v>
      </c>
      <c r="F34" s="66" t="s">
        <v>135</v>
      </c>
      <c r="G34" s="66" t="s">
        <v>133</v>
      </c>
      <c r="H34" s="68">
        <v>10</v>
      </c>
      <c r="I34" s="76" t="s">
        <v>136</v>
      </c>
      <c r="J34" s="25"/>
    </row>
    <row r="35" spans="1:10" ht="18" x14ac:dyDescent="0.35">
      <c r="A35" s="66">
        <v>7</v>
      </c>
      <c r="B35" s="71">
        <v>0.79166666666666663</v>
      </c>
      <c r="C35" s="67"/>
      <c r="D35" s="67"/>
      <c r="E35" s="67"/>
      <c r="F35" s="66" t="s">
        <v>146</v>
      </c>
      <c r="G35" s="66" t="s">
        <v>147</v>
      </c>
      <c r="H35" s="68">
        <v>8</v>
      </c>
      <c r="I35" s="75" t="s">
        <v>135</v>
      </c>
      <c r="J35" s="25"/>
    </row>
    <row r="36" spans="1:10" ht="18" x14ac:dyDescent="0.35">
      <c r="A36" s="66">
        <v>8</v>
      </c>
      <c r="B36" s="71">
        <v>0.85416666666666663</v>
      </c>
      <c r="C36" s="67"/>
      <c r="D36" s="67"/>
      <c r="E36" s="67"/>
      <c r="F36" s="66" t="s">
        <v>149</v>
      </c>
      <c r="G36" s="66" t="s">
        <v>148</v>
      </c>
      <c r="H36" s="68">
        <v>8</v>
      </c>
      <c r="I36" s="75" t="s">
        <v>134</v>
      </c>
      <c r="J36" s="25"/>
    </row>
    <row r="37" spans="1:10" x14ac:dyDescent="0.3">
      <c r="B37" t="s">
        <v>122</v>
      </c>
    </row>
    <row r="38" spans="1:10" ht="46.95" customHeight="1" x14ac:dyDescent="0.35">
      <c r="C38" s="195" t="s">
        <v>156</v>
      </c>
      <c r="D38" s="195"/>
      <c r="E38" s="195"/>
      <c r="F38" s="195"/>
      <c r="G38" s="195"/>
      <c r="H38" s="195"/>
    </row>
  </sheetData>
  <mergeCells count="3">
    <mergeCell ref="C38:H38"/>
    <mergeCell ref="C27:E27"/>
    <mergeCell ref="F27:G27"/>
  </mergeCells>
  <phoneticPr fontId="10" type="noConversion"/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A2EF7-B96C-4D22-8D67-CAFF0254E81A}">
  <dimension ref="A1:O40"/>
  <sheetViews>
    <sheetView topLeftCell="A14" workbookViewId="0">
      <selection activeCell="S26" sqref="S26"/>
    </sheetView>
  </sheetViews>
  <sheetFormatPr defaultColWidth="9.109375" defaultRowHeight="14.4" x14ac:dyDescent="0.3"/>
  <cols>
    <col min="1" max="1" width="9.109375" style="26"/>
    <col min="2" max="16384" width="9.109375" style="32"/>
  </cols>
  <sheetData>
    <row r="1" spans="1:13" ht="46.2" x14ac:dyDescent="0.3">
      <c r="B1" s="235" t="s">
        <v>31</v>
      </c>
      <c r="C1" s="235"/>
      <c r="D1" s="235"/>
      <c r="E1" s="235"/>
      <c r="F1" s="235"/>
      <c r="G1" s="235"/>
      <c r="H1" s="235"/>
      <c r="I1" s="235"/>
      <c r="J1" s="235"/>
      <c r="K1" s="235"/>
    </row>
    <row r="2" spans="1:13" ht="15" customHeight="1" x14ac:dyDescent="0.3">
      <c r="B2" s="32" t="s">
        <v>46</v>
      </c>
      <c r="C2" s="34"/>
    </row>
    <row r="3" spans="1:13" ht="15" customHeight="1" x14ac:dyDescent="0.3">
      <c r="C3" s="34"/>
    </row>
    <row r="4" spans="1:13" ht="18" x14ac:dyDescent="0.3">
      <c r="B4" s="281" t="s">
        <v>225</v>
      </c>
      <c r="C4" s="282"/>
      <c r="D4" s="35">
        <v>6</v>
      </c>
      <c r="E4" s="36"/>
      <c r="G4" s="32" t="s">
        <v>55</v>
      </c>
    </row>
    <row r="5" spans="1:13" ht="15" customHeight="1" x14ac:dyDescent="0.3">
      <c r="C5" s="34"/>
      <c r="E5" s="37"/>
    </row>
    <row r="6" spans="1:13" ht="18" x14ac:dyDescent="0.3">
      <c r="A6" s="26" t="s">
        <v>56</v>
      </c>
      <c r="B6" s="29" t="s">
        <v>8</v>
      </c>
      <c r="C6" s="34">
        <v>2</v>
      </c>
      <c r="E6" s="38"/>
      <c r="F6" s="284" t="str">
        <f>IF(ISBLANK(D4),"",IF(D4&gt;D8,B4,B8))</f>
        <v>Салют</v>
      </c>
      <c r="G6" s="282"/>
      <c r="H6" s="35">
        <v>13</v>
      </c>
      <c r="I6" s="36"/>
    </row>
    <row r="7" spans="1:13" ht="15" customHeight="1" x14ac:dyDescent="0.3">
      <c r="C7" s="34"/>
      <c r="E7" s="38"/>
      <c r="I7" s="37"/>
      <c r="K7" s="32" t="s">
        <v>48</v>
      </c>
    </row>
    <row r="8" spans="1:13" ht="18" x14ac:dyDescent="0.3">
      <c r="B8" s="281" t="s">
        <v>191</v>
      </c>
      <c r="C8" s="282"/>
      <c r="D8" s="35">
        <v>13</v>
      </c>
      <c r="E8" s="39"/>
      <c r="I8" s="38"/>
    </row>
    <row r="9" spans="1:13" ht="15" customHeight="1" x14ac:dyDescent="0.3">
      <c r="C9" s="34"/>
      <c r="I9" s="38"/>
    </row>
    <row r="10" spans="1:13" ht="18" x14ac:dyDescent="0.3">
      <c r="C10" s="34"/>
      <c r="F10" s="29" t="s">
        <v>8</v>
      </c>
      <c r="G10" s="32" t="s">
        <v>51</v>
      </c>
      <c r="H10" s="34"/>
      <c r="I10" s="38"/>
      <c r="J10" s="284" t="str">
        <f>IF(ISBLANK(H6),"",IF(H6&gt;H14,F6,F14))</f>
        <v>Салют</v>
      </c>
      <c r="K10" s="281"/>
      <c r="L10" s="35">
        <v>13</v>
      </c>
      <c r="M10" s="36"/>
    </row>
    <row r="11" spans="1:13" ht="15" customHeight="1" x14ac:dyDescent="0.3">
      <c r="C11" s="34"/>
      <c r="I11" s="38"/>
      <c r="M11" s="37"/>
    </row>
    <row r="12" spans="1:13" ht="18" x14ac:dyDescent="0.3">
      <c r="B12" s="281" t="s">
        <v>70</v>
      </c>
      <c r="C12" s="282"/>
      <c r="D12" s="35">
        <v>13</v>
      </c>
      <c r="E12" s="36"/>
      <c r="I12" s="38"/>
      <c r="M12" s="38"/>
    </row>
    <row r="13" spans="1:13" ht="15" customHeight="1" x14ac:dyDescent="0.3">
      <c r="C13" s="34"/>
      <c r="E13" s="37"/>
      <c r="I13" s="38"/>
      <c r="M13" s="38"/>
    </row>
    <row r="14" spans="1:13" ht="18" x14ac:dyDescent="0.3">
      <c r="A14" s="26" t="s">
        <v>57</v>
      </c>
      <c r="B14" s="29" t="s">
        <v>8</v>
      </c>
      <c r="C14" s="34">
        <v>3</v>
      </c>
      <c r="E14" s="38"/>
      <c r="F14" s="284" t="str">
        <f>IF(ISBLANK(D12),"",IF(D12&gt;D16,B12,B16))</f>
        <v>Авант</v>
      </c>
      <c r="G14" s="282"/>
      <c r="H14" s="35">
        <v>9</v>
      </c>
      <c r="I14" s="39"/>
      <c r="M14" s="38"/>
    </row>
    <row r="15" spans="1:13" ht="15" customHeight="1" x14ac:dyDescent="0.3">
      <c r="E15" s="38"/>
      <c r="M15" s="38"/>
    </row>
    <row r="16" spans="1:13" ht="18" x14ac:dyDescent="0.3">
      <c r="B16" s="281" t="s">
        <v>81</v>
      </c>
      <c r="C16" s="282"/>
      <c r="D16" s="35">
        <v>3</v>
      </c>
      <c r="E16" s="39"/>
      <c r="M16" s="38"/>
    </row>
    <row r="17" spans="1:15" ht="15" customHeight="1" x14ac:dyDescent="0.3">
      <c r="M17" s="38"/>
    </row>
    <row r="18" spans="1:15" ht="18" x14ac:dyDescent="0.3">
      <c r="B18" s="29"/>
      <c r="J18" s="29" t="s">
        <v>8</v>
      </c>
      <c r="K18" s="32" t="s">
        <v>53</v>
      </c>
      <c r="L18" s="34"/>
      <c r="M18" s="38"/>
      <c r="N18" s="284" t="str">
        <f>IF(ISBLANK(L10),"",IF(L10&gt;L26,J10,J26))</f>
        <v>Салют</v>
      </c>
      <c r="O18" s="281"/>
    </row>
    <row r="19" spans="1:15" ht="15" customHeight="1" x14ac:dyDescent="0.3">
      <c r="M19" s="38"/>
    </row>
    <row r="20" spans="1:15" ht="18" x14ac:dyDescent="0.3">
      <c r="B20" s="281" t="s">
        <v>68</v>
      </c>
      <c r="C20" s="282"/>
      <c r="D20" s="35">
        <v>13</v>
      </c>
      <c r="E20" s="36"/>
      <c r="M20" s="38"/>
    </row>
    <row r="21" spans="1:15" ht="15" customHeight="1" x14ac:dyDescent="0.3">
      <c r="E21" s="37"/>
      <c r="M21" s="38"/>
    </row>
    <row r="22" spans="1:15" ht="18" x14ac:dyDescent="0.3">
      <c r="A22" s="26" t="s">
        <v>58</v>
      </c>
      <c r="B22" s="29" t="s">
        <v>8</v>
      </c>
      <c r="C22" s="34">
        <v>4</v>
      </c>
      <c r="E22" s="38"/>
      <c r="F22" s="284" t="str">
        <f>IF(ISBLANK(D20),"",IF(D20&gt;D24,B20,B24))</f>
        <v>ВДВ</v>
      </c>
      <c r="G22" s="282"/>
      <c r="H22" s="35">
        <v>13</v>
      </c>
      <c r="I22" s="36"/>
      <c r="M22" s="38"/>
    </row>
    <row r="23" spans="1:15" ht="15" customHeight="1" x14ac:dyDescent="0.3">
      <c r="E23" s="38"/>
      <c r="I23" s="37"/>
      <c r="M23" s="38"/>
    </row>
    <row r="24" spans="1:15" ht="18" x14ac:dyDescent="0.3">
      <c r="B24" s="281" t="s">
        <v>194</v>
      </c>
      <c r="C24" s="282"/>
      <c r="D24" s="35">
        <v>12</v>
      </c>
      <c r="E24" s="39"/>
      <c r="I24" s="38"/>
      <c r="M24" s="38"/>
    </row>
    <row r="25" spans="1:15" ht="15" customHeight="1" x14ac:dyDescent="0.3">
      <c r="I25" s="38"/>
      <c r="M25" s="38"/>
    </row>
    <row r="26" spans="1:15" ht="18" x14ac:dyDescent="0.3">
      <c r="F26" s="29" t="s">
        <v>8</v>
      </c>
      <c r="G26" s="42" t="s">
        <v>52</v>
      </c>
      <c r="H26" s="34"/>
      <c r="I26" s="38"/>
      <c r="J26" s="284" t="str">
        <f>IF(ISBLANK(H22),"",IF(H22&gt;H30,F22,F30))</f>
        <v>ВДВ</v>
      </c>
      <c r="K26" s="282"/>
      <c r="L26" s="35">
        <v>12</v>
      </c>
      <c r="M26" s="39"/>
    </row>
    <row r="27" spans="1:15" ht="15" customHeight="1" x14ac:dyDescent="0.3">
      <c r="I27" s="38"/>
    </row>
    <row r="28" spans="1:15" ht="18" x14ac:dyDescent="0.3">
      <c r="B28" s="281" t="s">
        <v>193</v>
      </c>
      <c r="C28" s="282"/>
      <c r="D28" s="35">
        <v>4</v>
      </c>
      <c r="E28" s="36"/>
      <c r="I28" s="38"/>
    </row>
    <row r="29" spans="1:15" ht="15" customHeight="1" x14ac:dyDescent="0.3">
      <c r="E29" s="37"/>
      <c r="I29" s="38"/>
    </row>
    <row r="30" spans="1:15" ht="18" x14ac:dyDescent="0.3">
      <c r="A30" s="26" t="s">
        <v>59</v>
      </c>
      <c r="B30" s="29" t="s">
        <v>8</v>
      </c>
      <c r="C30" s="34">
        <v>6</v>
      </c>
      <c r="E30" s="38"/>
      <c r="F30" s="284" t="str">
        <f>IF(ISBLANK(D28),"",IF(D28&gt;D32,B28,B32))</f>
        <v>Самба</v>
      </c>
      <c r="G30" s="282"/>
      <c r="H30" s="35">
        <v>2</v>
      </c>
      <c r="I30" s="39"/>
    </row>
    <row r="31" spans="1:15" ht="15" customHeight="1" x14ac:dyDescent="0.3">
      <c r="E31" s="38"/>
    </row>
    <row r="32" spans="1:15" ht="18" x14ac:dyDescent="0.3">
      <c r="B32" s="281" t="s">
        <v>192</v>
      </c>
      <c r="C32" s="282"/>
      <c r="D32" s="35">
        <v>13</v>
      </c>
      <c r="E32" s="39"/>
    </row>
    <row r="34" spans="2:7" x14ac:dyDescent="0.3">
      <c r="D34" s="32" t="s">
        <v>49</v>
      </c>
    </row>
    <row r="36" spans="2:7" ht="18" x14ac:dyDescent="0.3">
      <c r="B36" s="281" t="str">
        <f>IF(ISBLANK(H6),"",IF(H6&gt;H14,F14,F6))</f>
        <v>Авант</v>
      </c>
      <c r="C36" s="282"/>
      <c r="D36" s="35">
        <v>13</v>
      </c>
      <c r="E36" s="36"/>
      <c r="F36" s="286"/>
      <c r="G36" s="286"/>
    </row>
    <row r="37" spans="2:7" ht="15" customHeight="1" x14ac:dyDescent="0.3">
      <c r="E37" s="37"/>
    </row>
    <row r="38" spans="2:7" ht="18" x14ac:dyDescent="0.3">
      <c r="B38" s="29" t="s">
        <v>8</v>
      </c>
      <c r="C38" s="32" t="s">
        <v>54</v>
      </c>
      <c r="E38" s="38"/>
      <c r="F38" s="284" t="str">
        <f>IF(ISBLANK(D36),"",IF(D36&gt;D40,B36,B40))</f>
        <v>Авант</v>
      </c>
      <c r="G38" s="281"/>
    </row>
    <row r="39" spans="2:7" ht="15" customHeight="1" x14ac:dyDescent="0.3">
      <c r="E39" s="38"/>
    </row>
    <row r="40" spans="2:7" ht="18" x14ac:dyDescent="0.3">
      <c r="B40" s="281" t="str">
        <f>IF(ISBLANK(H22),"",IF(H22&gt;H30,F30,F22))</f>
        <v>Самба</v>
      </c>
      <c r="C40" s="282"/>
      <c r="D40" s="35">
        <v>7</v>
      </c>
      <c r="E40" s="39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70A1E-6E76-48C7-80EF-614B6E819324}">
  <dimension ref="A1:J14"/>
  <sheetViews>
    <sheetView workbookViewId="0">
      <selection activeCell="J19" sqref="J19"/>
    </sheetView>
  </sheetViews>
  <sheetFormatPr defaultRowHeight="14.4" x14ac:dyDescent="0.3"/>
  <cols>
    <col min="1" max="1" width="7.5546875" customWidth="1"/>
    <col min="2" max="7" width="14" customWidth="1"/>
    <col min="8" max="8" width="12" customWidth="1"/>
    <col min="9" max="9" width="14" customWidth="1"/>
    <col min="10" max="10" width="53" customWidth="1"/>
  </cols>
  <sheetData>
    <row r="1" spans="1:10" ht="21" x14ac:dyDescent="0.4">
      <c r="A1" s="83" t="s">
        <v>60</v>
      </c>
      <c r="B1" s="61"/>
      <c r="C1" s="61"/>
      <c r="D1" s="61" t="s">
        <v>164</v>
      </c>
      <c r="E1" s="61"/>
      <c r="F1" s="61"/>
      <c r="G1" s="61"/>
      <c r="H1" s="61"/>
    </row>
    <row r="2" spans="1:10" ht="18" x14ac:dyDescent="0.35">
      <c r="A2" s="61" t="s">
        <v>165</v>
      </c>
      <c r="B2" s="61"/>
      <c r="C2" s="61"/>
      <c r="D2" s="61"/>
      <c r="E2" s="61"/>
      <c r="F2" s="61"/>
      <c r="G2" s="61"/>
      <c r="H2" s="61"/>
    </row>
    <row r="3" spans="1:10" ht="18" x14ac:dyDescent="0.35">
      <c r="B3" s="61"/>
      <c r="C3" s="196" t="s">
        <v>63</v>
      </c>
      <c r="D3" s="197"/>
      <c r="E3" s="198"/>
      <c r="F3" s="199" t="s">
        <v>64</v>
      </c>
      <c r="G3" s="200"/>
      <c r="H3" s="61"/>
      <c r="J3" s="59"/>
    </row>
    <row r="4" spans="1:10" ht="82.5" customHeight="1" x14ac:dyDescent="0.35">
      <c r="A4" s="62" t="s">
        <v>6</v>
      </c>
      <c r="B4" s="63" t="s">
        <v>150</v>
      </c>
      <c r="C4" s="72" t="s">
        <v>151</v>
      </c>
      <c r="D4" s="72" t="s">
        <v>152</v>
      </c>
      <c r="E4" s="72" t="s">
        <v>153</v>
      </c>
      <c r="F4" s="72" t="s">
        <v>154</v>
      </c>
      <c r="G4" s="72" t="s">
        <v>155</v>
      </c>
      <c r="H4" s="64" t="s">
        <v>61</v>
      </c>
      <c r="I4" s="24" t="s">
        <v>140</v>
      </c>
      <c r="J4" s="109" t="s">
        <v>143</v>
      </c>
    </row>
    <row r="5" spans="1:10" ht="29.4" x14ac:dyDescent="0.35">
      <c r="A5" s="66">
        <v>1</v>
      </c>
      <c r="B5" s="71">
        <v>0.41666666666666669</v>
      </c>
      <c r="C5" s="66" t="s">
        <v>134</v>
      </c>
      <c r="D5" s="66" t="s">
        <v>138</v>
      </c>
      <c r="E5" s="66" t="s">
        <v>139</v>
      </c>
      <c r="F5" s="287"/>
      <c r="G5" s="288"/>
      <c r="H5" s="66">
        <v>8</v>
      </c>
      <c r="I5" s="75" t="s">
        <v>135</v>
      </c>
      <c r="J5" s="24" t="s">
        <v>208</v>
      </c>
    </row>
    <row r="6" spans="1:10" ht="18" x14ac:dyDescent="0.35">
      <c r="A6" s="66">
        <v>2</v>
      </c>
      <c r="B6" s="71">
        <v>0.47916666666666669</v>
      </c>
      <c r="C6" s="66" t="s">
        <v>137</v>
      </c>
      <c r="D6" s="66" t="s">
        <v>128</v>
      </c>
      <c r="E6" s="66" t="s">
        <v>129</v>
      </c>
      <c r="F6" s="289"/>
      <c r="G6" s="290"/>
      <c r="H6" s="66">
        <v>8</v>
      </c>
      <c r="I6" s="75" t="s">
        <v>132</v>
      </c>
      <c r="J6" s="25"/>
    </row>
    <row r="7" spans="1:10" ht="18" x14ac:dyDescent="0.35">
      <c r="A7" s="66">
        <v>3</v>
      </c>
      <c r="B7" s="71">
        <v>0.54166666666666663</v>
      </c>
      <c r="C7" s="66" t="s">
        <v>132</v>
      </c>
      <c r="D7" s="66" t="s">
        <v>141</v>
      </c>
      <c r="E7" s="66" t="s">
        <v>142</v>
      </c>
      <c r="F7" s="291"/>
      <c r="G7" s="292"/>
      <c r="H7" s="66">
        <v>8</v>
      </c>
      <c r="I7" s="75" t="s">
        <v>135</v>
      </c>
      <c r="J7" s="25"/>
    </row>
    <row r="8" spans="1:10" ht="43.8" x14ac:dyDescent="0.35">
      <c r="A8" s="66">
        <v>4</v>
      </c>
      <c r="B8" s="71">
        <v>0.60416666666666663</v>
      </c>
      <c r="C8" s="66" t="s">
        <v>127</v>
      </c>
      <c r="D8" s="66">
        <v>10</v>
      </c>
      <c r="E8" s="66">
        <v>3</v>
      </c>
      <c r="F8" s="66" t="s">
        <v>130</v>
      </c>
      <c r="G8" s="66" t="s">
        <v>131</v>
      </c>
      <c r="H8" s="66">
        <v>8</v>
      </c>
      <c r="I8" s="75" t="s">
        <v>132</v>
      </c>
      <c r="J8" s="24" t="s">
        <v>210</v>
      </c>
    </row>
    <row r="9" spans="1:10" ht="29.4" x14ac:dyDescent="0.35">
      <c r="A9" s="66">
        <v>5</v>
      </c>
      <c r="B9" s="71">
        <v>0.66666666666666663</v>
      </c>
      <c r="C9" s="66" t="s">
        <v>135</v>
      </c>
      <c r="D9" s="66" t="s">
        <v>132</v>
      </c>
      <c r="E9" s="66" t="s">
        <v>134</v>
      </c>
      <c r="F9" s="66" t="s">
        <v>137</v>
      </c>
      <c r="G9" s="66" t="s">
        <v>127</v>
      </c>
      <c r="H9" s="66">
        <v>10</v>
      </c>
      <c r="I9" s="76" t="s">
        <v>136</v>
      </c>
      <c r="J9" s="24" t="s">
        <v>209</v>
      </c>
    </row>
    <row r="10" spans="1:10" ht="18" x14ac:dyDescent="0.35">
      <c r="A10" s="66">
        <v>6</v>
      </c>
      <c r="B10" s="71">
        <v>0.72916666666666663</v>
      </c>
      <c r="C10" s="293"/>
      <c r="D10" s="66" t="s">
        <v>144</v>
      </c>
      <c r="E10" s="66" t="s">
        <v>145</v>
      </c>
      <c r="F10" s="66" t="s">
        <v>135</v>
      </c>
      <c r="G10" s="66" t="s">
        <v>133</v>
      </c>
      <c r="H10" s="66">
        <v>10</v>
      </c>
      <c r="I10" s="76" t="s">
        <v>136</v>
      </c>
      <c r="J10" s="25"/>
    </row>
    <row r="11" spans="1:10" ht="18" x14ac:dyDescent="0.35">
      <c r="A11" s="66">
        <v>7</v>
      </c>
      <c r="B11" s="71">
        <v>0.79166666666666663</v>
      </c>
      <c r="C11" s="294"/>
      <c r="D11" s="287"/>
      <c r="E11" s="288"/>
      <c r="F11" s="66" t="s">
        <v>146</v>
      </c>
      <c r="G11" s="66" t="s">
        <v>147</v>
      </c>
      <c r="H11" s="66">
        <v>8</v>
      </c>
      <c r="I11" s="75" t="s">
        <v>135</v>
      </c>
      <c r="J11" s="25"/>
    </row>
    <row r="12" spans="1:10" ht="18" x14ac:dyDescent="0.35">
      <c r="A12" s="66">
        <v>8</v>
      </c>
      <c r="B12" s="71">
        <v>0.85416666666666663</v>
      </c>
      <c r="C12" s="295"/>
      <c r="D12" s="291"/>
      <c r="E12" s="292"/>
      <c r="F12" s="66" t="s">
        <v>149</v>
      </c>
      <c r="G12" s="66" t="s">
        <v>148</v>
      </c>
      <c r="H12" s="66">
        <v>8</v>
      </c>
      <c r="I12" s="75" t="s">
        <v>134</v>
      </c>
      <c r="J12" s="25"/>
    </row>
    <row r="13" spans="1:10" x14ac:dyDescent="0.3">
      <c r="B13" t="s">
        <v>122</v>
      </c>
    </row>
    <row r="14" spans="1:10" ht="42" customHeight="1" x14ac:dyDescent="0.35">
      <c r="C14" s="195" t="s">
        <v>156</v>
      </c>
      <c r="D14" s="195"/>
      <c r="E14" s="195"/>
      <c r="F14" s="195"/>
      <c r="G14" s="195"/>
      <c r="H14" s="195"/>
    </row>
  </sheetData>
  <mergeCells count="6">
    <mergeCell ref="C3:E3"/>
    <mergeCell ref="F3:G3"/>
    <mergeCell ref="C14:H14"/>
    <mergeCell ref="F5:G7"/>
    <mergeCell ref="C10:C12"/>
    <mergeCell ref="D11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6788D-8E80-49E0-8821-B4B592191235}">
  <dimension ref="A1:T29"/>
  <sheetViews>
    <sheetView topLeftCell="B1" workbookViewId="0">
      <selection activeCell="Q22" sqref="Q22"/>
    </sheetView>
  </sheetViews>
  <sheetFormatPr defaultRowHeight="14.4" x14ac:dyDescent="0.3"/>
  <cols>
    <col min="4" max="4" width="5.5546875" customWidth="1"/>
    <col min="7" max="7" width="14.109375" customWidth="1"/>
    <col min="10" max="10" width="12.33203125" customWidth="1"/>
    <col min="15" max="19" width="14.5546875" customWidth="1"/>
  </cols>
  <sheetData>
    <row r="1" spans="1:20" ht="15" thickBot="1" x14ac:dyDescent="0.35">
      <c r="A1" t="s">
        <v>119</v>
      </c>
    </row>
    <row r="2" spans="1:20" ht="15" thickBot="1" x14ac:dyDescent="0.35">
      <c r="A2" t="s">
        <v>221</v>
      </c>
      <c r="E2" s="117" t="s">
        <v>177</v>
      </c>
      <c r="F2" s="118"/>
      <c r="G2" s="119" t="s">
        <v>117</v>
      </c>
      <c r="H2" t="s">
        <v>1</v>
      </c>
    </row>
    <row r="3" spans="1:20" ht="15" x14ac:dyDescent="0.35">
      <c r="A3" s="53">
        <v>1</v>
      </c>
      <c r="B3" s="53" t="s">
        <v>65</v>
      </c>
      <c r="C3" s="54">
        <v>790</v>
      </c>
      <c r="D3" s="89"/>
      <c r="E3" s="120" t="s">
        <v>180</v>
      </c>
      <c r="F3" s="100">
        <v>1</v>
      </c>
      <c r="G3" s="121">
        <v>700</v>
      </c>
      <c r="H3" s="110" t="s">
        <v>96</v>
      </c>
      <c r="I3" s="79"/>
      <c r="J3" s="205" t="s">
        <v>88</v>
      </c>
      <c r="L3" s="99" t="s">
        <v>163</v>
      </c>
    </row>
    <row r="4" spans="1:20" ht="15" x14ac:dyDescent="0.35">
      <c r="A4" s="53">
        <v>2</v>
      </c>
      <c r="B4" s="53" t="s">
        <v>66</v>
      </c>
      <c r="C4" s="53">
        <v>700</v>
      </c>
      <c r="D4" s="90"/>
      <c r="E4" s="122" t="s">
        <v>178</v>
      </c>
      <c r="F4" s="101">
        <v>2</v>
      </c>
      <c r="G4" s="123">
        <v>675</v>
      </c>
      <c r="H4" s="111" t="s">
        <v>91</v>
      </c>
      <c r="I4" s="77"/>
      <c r="J4" s="206"/>
      <c r="L4" s="98" t="s">
        <v>120</v>
      </c>
    </row>
    <row r="5" spans="1:20" ht="15" x14ac:dyDescent="0.35">
      <c r="A5" s="53">
        <v>3</v>
      </c>
      <c r="B5" s="53" t="s">
        <v>67</v>
      </c>
      <c r="C5" s="53">
        <v>675</v>
      </c>
      <c r="D5" s="90"/>
      <c r="E5" s="120"/>
      <c r="F5" s="101">
        <v>3</v>
      </c>
      <c r="G5" s="123">
        <v>584</v>
      </c>
      <c r="H5" s="111" t="s">
        <v>92</v>
      </c>
      <c r="I5" s="77"/>
      <c r="J5" s="206"/>
      <c r="L5" s="97" t="s">
        <v>121</v>
      </c>
    </row>
    <row r="6" spans="1:20" ht="15.6" thickBot="1" x14ac:dyDescent="0.4">
      <c r="A6" s="53">
        <v>4</v>
      </c>
      <c r="B6" s="53" t="s">
        <v>68</v>
      </c>
      <c r="C6" s="53">
        <v>584</v>
      </c>
      <c r="D6" s="90"/>
      <c r="E6" s="120"/>
      <c r="F6" s="101">
        <v>4</v>
      </c>
      <c r="G6" s="123">
        <v>482</v>
      </c>
      <c r="H6" s="111" t="s">
        <v>93</v>
      </c>
      <c r="I6" s="77"/>
      <c r="J6" s="206"/>
    </row>
    <row r="7" spans="1:20" ht="15.6" thickBot="1" x14ac:dyDescent="0.4">
      <c r="A7" s="53">
        <v>5</v>
      </c>
      <c r="B7" s="53" t="s">
        <v>69</v>
      </c>
      <c r="C7" s="53">
        <v>520</v>
      </c>
      <c r="D7" s="90"/>
      <c r="E7" s="120"/>
      <c r="F7" s="102">
        <v>5</v>
      </c>
      <c r="G7" s="124">
        <v>440</v>
      </c>
      <c r="H7" s="112" t="s">
        <v>95</v>
      </c>
      <c r="I7" s="80"/>
      <c r="J7" s="207"/>
      <c r="L7" s="92" t="s">
        <v>182</v>
      </c>
      <c r="M7" s="93"/>
      <c r="N7" s="93"/>
      <c r="O7" s="94"/>
    </row>
    <row r="8" spans="1:20" ht="15" x14ac:dyDescent="0.35">
      <c r="A8" s="55">
        <v>6</v>
      </c>
      <c r="B8" s="55" t="s">
        <v>70</v>
      </c>
      <c r="C8" s="55">
        <v>482</v>
      </c>
      <c r="D8" s="91"/>
      <c r="E8" s="120"/>
      <c r="F8" s="103">
        <v>6</v>
      </c>
      <c r="G8" s="125">
        <v>438</v>
      </c>
      <c r="H8" s="113" t="s">
        <v>104</v>
      </c>
      <c r="I8" s="81"/>
      <c r="J8" s="205" t="s">
        <v>89</v>
      </c>
    </row>
    <row r="9" spans="1:20" ht="24.6" thickBot="1" x14ac:dyDescent="0.4">
      <c r="A9" s="55">
        <v>7</v>
      </c>
      <c r="B9" s="55" t="s">
        <v>71</v>
      </c>
      <c r="C9" s="55">
        <v>470</v>
      </c>
      <c r="D9" s="91"/>
      <c r="E9" s="120"/>
      <c r="F9" s="104">
        <v>7</v>
      </c>
      <c r="G9" s="126">
        <v>433</v>
      </c>
      <c r="H9" s="114" t="s">
        <v>97</v>
      </c>
      <c r="I9" s="25"/>
      <c r="J9" s="206"/>
      <c r="P9" s="108" t="s">
        <v>190</v>
      </c>
    </row>
    <row r="10" spans="1:20" ht="24.6" x14ac:dyDescent="0.35">
      <c r="A10" s="55">
        <v>8</v>
      </c>
      <c r="B10" s="55" t="s">
        <v>72</v>
      </c>
      <c r="C10" s="55">
        <v>440</v>
      </c>
      <c r="D10" s="91"/>
      <c r="E10" s="120" t="s">
        <v>179</v>
      </c>
      <c r="F10" s="104">
        <v>8</v>
      </c>
      <c r="G10" s="126">
        <v>330</v>
      </c>
      <c r="H10" s="114" t="s">
        <v>103</v>
      </c>
      <c r="I10" s="25"/>
      <c r="J10" s="206"/>
      <c r="O10" s="209" t="s">
        <v>222</v>
      </c>
      <c r="P10" s="210"/>
      <c r="Q10" s="211"/>
      <c r="R10" s="132"/>
      <c r="S10" s="201" t="s">
        <v>223</v>
      </c>
      <c r="T10" s="201"/>
    </row>
    <row r="11" spans="1:20" ht="15" x14ac:dyDescent="0.35">
      <c r="A11" s="55">
        <v>9</v>
      </c>
      <c r="B11" s="55" t="s">
        <v>73</v>
      </c>
      <c r="C11" s="55">
        <v>438</v>
      </c>
      <c r="D11" s="91"/>
      <c r="E11" s="120"/>
      <c r="F11" s="104">
        <v>9</v>
      </c>
      <c r="G11" s="126">
        <v>293</v>
      </c>
      <c r="H11" s="114" t="s">
        <v>99</v>
      </c>
      <c r="I11" s="25"/>
      <c r="J11" s="206"/>
      <c r="N11" s="133"/>
      <c r="O11" s="134" t="s">
        <v>185</v>
      </c>
      <c r="P11" s="135" t="s">
        <v>188</v>
      </c>
      <c r="Q11" s="136" t="s">
        <v>189</v>
      </c>
      <c r="R11" s="137"/>
      <c r="S11" s="138" t="s">
        <v>186</v>
      </c>
      <c r="T11" s="135" t="s">
        <v>187</v>
      </c>
    </row>
    <row r="12" spans="1:20" ht="15.6" thickBot="1" x14ac:dyDescent="0.4">
      <c r="A12" s="55">
        <v>10</v>
      </c>
      <c r="B12" s="55" t="s">
        <v>74</v>
      </c>
      <c r="C12" s="55">
        <v>434</v>
      </c>
      <c r="D12" s="91"/>
      <c r="E12" s="120" t="s">
        <v>180</v>
      </c>
      <c r="F12" s="105">
        <v>10</v>
      </c>
      <c r="G12" s="127">
        <v>287</v>
      </c>
      <c r="H12" s="115" t="s">
        <v>115</v>
      </c>
      <c r="I12" s="82"/>
      <c r="J12" s="207"/>
      <c r="N12" s="133">
        <v>1</v>
      </c>
      <c r="O12" s="139" t="s">
        <v>162</v>
      </c>
      <c r="P12" s="140" t="s">
        <v>79</v>
      </c>
      <c r="Q12" s="141" t="s">
        <v>73</v>
      </c>
      <c r="R12" s="142"/>
      <c r="S12" s="143" t="s">
        <v>78</v>
      </c>
      <c r="T12" s="140" t="s">
        <v>224</v>
      </c>
    </row>
    <row r="13" spans="1:20" ht="29.4" x14ac:dyDescent="0.35">
      <c r="A13" s="53">
        <v>11</v>
      </c>
      <c r="B13" s="53" t="s">
        <v>75</v>
      </c>
      <c r="C13" s="53">
        <v>433</v>
      </c>
      <c r="D13" s="90"/>
      <c r="E13" s="120"/>
      <c r="F13" s="100">
        <v>11</v>
      </c>
      <c r="G13" s="121">
        <v>274</v>
      </c>
      <c r="H13" s="110" t="s">
        <v>98</v>
      </c>
      <c r="I13" s="79"/>
      <c r="J13" s="202" t="s">
        <v>90</v>
      </c>
      <c r="N13" s="133">
        <v>2</v>
      </c>
      <c r="O13" s="139" t="s">
        <v>191</v>
      </c>
      <c r="P13" s="140" t="s">
        <v>193</v>
      </c>
      <c r="Q13" s="141">
        <v>27</v>
      </c>
      <c r="R13" s="142"/>
      <c r="S13" s="144" t="s">
        <v>197</v>
      </c>
      <c r="T13" s="140" t="s">
        <v>201</v>
      </c>
    </row>
    <row r="14" spans="1:20" ht="24" x14ac:dyDescent="0.35">
      <c r="A14" s="53">
        <v>12</v>
      </c>
      <c r="B14" s="53" t="s">
        <v>76</v>
      </c>
      <c r="C14" s="53">
        <v>370</v>
      </c>
      <c r="D14" s="90"/>
      <c r="E14" s="120" t="s">
        <v>180</v>
      </c>
      <c r="F14" s="101">
        <v>12</v>
      </c>
      <c r="G14" s="123">
        <v>186</v>
      </c>
      <c r="H14" s="111" t="s">
        <v>100</v>
      </c>
      <c r="I14" s="77"/>
      <c r="J14" s="203"/>
      <c r="N14" s="133">
        <v>3</v>
      </c>
      <c r="O14" s="139" t="s">
        <v>80</v>
      </c>
      <c r="P14" s="140" t="s">
        <v>194</v>
      </c>
      <c r="Q14" s="141" t="s">
        <v>205</v>
      </c>
      <c r="R14" s="142"/>
      <c r="S14" s="143" t="s">
        <v>68</v>
      </c>
      <c r="T14" s="140" t="s">
        <v>70</v>
      </c>
    </row>
    <row r="15" spans="1:20" ht="15" x14ac:dyDescent="0.35">
      <c r="A15" s="53">
        <v>13</v>
      </c>
      <c r="B15" s="53" t="s">
        <v>77</v>
      </c>
      <c r="C15" s="53">
        <v>350</v>
      </c>
      <c r="D15" s="90"/>
      <c r="E15" s="120"/>
      <c r="F15" s="101">
        <v>13</v>
      </c>
      <c r="G15" s="123">
        <v>151</v>
      </c>
      <c r="H15" s="111" t="s">
        <v>105</v>
      </c>
      <c r="I15" s="77"/>
      <c r="J15" s="203"/>
      <c r="N15" s="133">
        <v>4</v>
      </c>
      <c r="O15" s="139" t="s">
        <v>192</v>
      </c>
      <c r="P15" s="140" t="s">
        <v>195</v>
      </c>
      <c r="Q15" s="141" t="s">
        <v>206</v>
      </c>
      <c r="R15" s="142"/>
      <c r="S15" s="143" t="s">
        <v>198</v>
      </c>
      <c r="T15" s="140" t="s">
        <v>202</v>
      </c>
    </row>
    <row r="16" spans="1:20" ht="15.6" thickBot="1" x14ac:dyDescent="0.4">
      <c r="A16" s="53">
        <v>14</v>
      </c>
      <c r="B16" s="53" t="s">
        <v>78</v>
      </c>
      <c r="C16" s="53">
        <v>330</v>
      </c>
      <c r="D16" s="90"/>
      <c r="E16" s="120" t="s">
        <v>179</v>
      </c>
      <c r="F16" s="102">
        <v>14</v>
      </c>
      <c r="G16" s="124">
        <v>87</v>
      </c>
      <c r="H16" s="112" t="s">
        <v>94</v>
      </c>
      <c r="I16" s="80"/>
      <c r="J16" s="204"/>
      <c r="N16" s="133">
        <v>5</v>
      </c>
      <c r="O16" s="139" t="s">
        <v>83</v>
      </c>
      <c r="P16" s="140" t="s">
        <v>196</v>
      </c>
      <c r="Q16" s="141" t="s">
        <v>81</v>
      </c>
      <c r="R16" s="142"/>
      <c r="S16" s="143" t="s">
        <v>225</v>
      </c>
      <c r="T16" s="140" t="s">
        <v>203</v>
      </c>
    </row>
    <row r="17" spans="1:18" ht="15.6" thickBot="1" x14ac:dyDescent="0.4">
      <c r="A17" s="53">
        <v>15</v>
      </c>
      <c r="B17" s="53" t="s">
        <v>79</v>
      </c>
      <c r="C17" s="53">
        <v>293</v>
      </c>
      <c r="D17" s="90"/>
      <c r="E17" s="120"/>
      <c r="F17" s="148">
        <v>15</v>
      </c>
      <c r="G17" s="149">
        <v>1</v>
      </c>
      <c r="H17" s="150" t="s">
        <v>109</v>
      </c>
      <c r="I17" s="151"/>
      <c r="J17" s="152"/>
      <c r="N17" s="133">
        <v>6</v>
      </c>
      <c r="O17" s="145"/>
      <c r="P17" s="146" t="s">
        <v>204</v>
      </c>
      <c r="Q17" s="95" t="s">
        <v>207</v>
      </c>
      <c r="R17" s="147"/>
    </row>
    <row r="18" spans="1:18" ht="15" x14ac:dyDescent="0.35">
      <c r="A18" s="53">
        <v>16</v>
      </c>
      <c r="B18" s="53" t="s">
        <v>80</v>
      </c>
      <c r="C18" s="53">
        <v>287</v>
      </c>
      <c r="D18" s="90"/>
      <c r="E18" s="120" t="s">
        <v>179</v>
      </c>
      <c r="F18" s="106">
        <v>16</v>
      </c>
      <c r="G18" s="128">
        <v>1</v>
      </c>
      <c r="H18" s="116" t="s">
        <v>184</v>
      </c>
      <c r="I18" s="78"/>
      <c r="J18" s="78"/>
      <c r="K18" s="25"/>
      <c r="L18" s="25"/>
      <c r="M18" s="208" t="s">
        <v>118</v>
      </c>
    </row>
    <row r="19" spans="1:18" ht="15" x14ac:dyDescent="0.35">
      <c r="A19" s="53">
        <v>17</v>
      </c>
      <c r="B19" s="53" t="s">
        <v>81</v>
      </c>
      <c r="C19" s="53">
        <v>274</v>
      </c>
      <c r="D19" s="90"/>
      <c r="E19" s="120" t="s">
        <v>179</v>
      </c>
      <c r="F19" s="107">
        <v>17</v>
      </c>
      <c r="G19" s="126">
        <v>1</v>
      </c>
      <c r="H19" s="114" t="s">
        <v>101</v>
      </c>
      <c r="I19" s="25"/>
      <c r="J19" s="25"/>
      <c r="K19" s="25"/>
      <c r="L19" s="25"/>
      <c r="M19" s="208"/>
    </row>
    <row r="20" spans="1:18" ht="15" x14ac:dyDescent="0.35">
      <c r="A20" s="53">
        <v>18</v>
      </c>
      <c r="B20" s="53" t="s">
        <v>82</v>
      </c>
      <c r="C20" s="53">
        <v>232</v>
      </c>
      <c r="D20" s="90"/>
      <c r="E20" s="120"/>
      <c r="F20" s="107">
        <v>18</v>
      </c>
      <c r="G20" s="126">
        <v>1</v>
      </c>
      <c r="H20" s="114" t="s">
        <v>102</v>
      </c>
      <c r="I20" s="25"/>
      <c r="J20" s="25"/>
      <c r="K20" s="25"/>
      <c r="L20" s="25"/>
      <c r="M20" s="208"/>
    </row>
    <row r="21" spans="1:18" ht="15" x14ac:dyDescent="0.35">
      <c r="A21" s="53">
        <v>19</v>
      </c>
      <c r="B21" s="53" t="s">
        <v>83</v>
      </c>
      <c r="C21" s="53">
        <v>186</v>
      </c>
      <c r="D21" s="90"/>
      <c r="E21" s="120" t="s">
        <v>180</v>
      </c>
      <c r="F21" s="107">
        <v>19</v>
      </c>
      <c r="G21" s="126">
        <v>1</v>
      </c>
      <c r="H21" s="114" t="s">
        <v>106</v>
      </c>
      <c r="I21" s="25"/>
      <c r="J21" s="25"/>
      <c r="K21" s="25"/>
      <c r="L21" s="25"/>
      <c r="M21" s="208"/>
    </row>
    <row r="22" spans="1:18" ht="15" x14ac:dyDescent="0.35">
      <c r="A22" s="53">
        <v>20</v>
      </c>
      <c r="B22" s="53" t="s">
        <v>84</v>
      </c>
      <c r="C22" s="53">
        <v>151</v>
      </c>
      <c r="D22" s="90"/>
      <c r="E22" s="120" t="s">
        <v>179</v>
      </c>
      <c r="F22" s="107">
        <v>20</v>
      </c>
      <c r="G22" s="126">
        <v>1</v>
      </c>
      <c r="H22" s="114" t="s">
        <v>107</v>
      </c>
      <c r="I22" s="25"/>
      <c r="J22" s="25"/>
      <c r="K22" s="25"/>
      <c r="L22" s="25"/>
      <c r="M22" s="208"/>
    </row>
    <row r="23" spans="1:18" ht="15" x14ac:dyDescent="0.35">
      <c r="A23" s="53">
        <v>21</v>
      </c>
      <c r="B23" s="53" t="s">
        <v>85</v>
      </c>
      <c r="C23" s="53">
        <v>93</v>
      </c>
      <c r="D23" s="90"/>
      <c r="E23" s="120"/>
      <c r="F23" s="107">
        <v>21</v>
      </c>
      <c r="G23" s="126">
        <v>1</v>
      </c>
      <c r="H23" s="114" t="s">
        <v>108</v>
      </c>
      <c r="I23" s="25"/>
      <c r="J23" s="25"/>
      <c r="K23" s="25"/>
      <c r="L23" s="25"/>
      <c r="M23" s="208"/>
    </row>
    <row r="24" spans="1:18" ht="15" x14ac:dyDescent="0.35">
      <c r="A24" s="53">
        <v>22</v>
      </c>
      <c r="B24" s="53" t="s">
        <v>86</v>
      </c>
      <c r="C24" s="53">
        <v>87</v>
      </c>
      <c r="D24" s="90"/>
      <c r="E24" s="120"/>
      <c r="F24" s="107">
        <v>22</v>
      </c>
      <c r="G24" s="126">
        <v>1</v>
      </c>
      <c r="H24" s="114" t="s">
        <v>110</v>
      </c>
      <c r="I24" s="25"/>
      <c r="J24" s="25"/>
      <c r="K24" s="25"/>
      <c r="L24" s="25"/>
      <c r="M24" s="208"/>
    </row>
    <row r="25" spans="1:18" ht="15" x14ac:dyDescent="0.35">
      <c r="A25" s="53">
        <v>23</v>
      </c>
      <c r="B25" s="53" t="s">
        <v>87</v>
      </c>
      <c r="C25" s="53">
        <v>53</v>
      </c>
      <c r="D25" s="90"/>
      <c r="E25" s="120"/>
      <c r="F25" s="107">
        <v>23</v>
      </c>
      <c r="G25" s="126">
        <v>1</v>
      </c>
      <c r="H25" s="114" t="s">
        <v>111</v>
      </c>
      <c r="I25" s="25"/>
      <c r="J25" s="25"/>
      <c r="K25" s="25"/>
      <c r="L25" s="25"/>
      <c r="M25" s="208"/>
    </row>
    <row r="26" spans="1:18" ht="15" x14ac:dyDescent="0.35">
      <c r="E26" s="120"/>
      <c r="F26" s="107">
        <v>24</v>
      </c>
      <c r="G26" s="126">
        <v>1</v>
      </c>
      <c r="H26" s="114" t="s">
        <v>112</v>
      </c>
      <c r="I26" s="25"/>
      <c r="J26" s="25"/>
      <c r="K26" s="25"/>
      <c r="L26" s="25"/>
      <c r="M26" s="208"/>
    </row>
    <row r="27" spans="1:18" ht="15" x14ac:dyDescent="0.35">
      <c r="E27" s="120"/>
      <c r="F27" s="107">
        <v>25</v>
      </c>
      <c r="G27" s="126">
        <v>1</v>
      </c>
      <c r="H27" s="114" t="s">
        <v>113</v>
      </c>
      <c r="I27" s="25"/>
      <c r="J27" s="25"/>
      <c r="K27" s="25"/>
      <c r="L27" s="25"/>
      <c r="M27" s="208"/>
    </row>
    <row r="28" spans="1:18" ht="15" x14ac:dyDescent="0.35">
      <c r="E28" s="120"/>
      <c r="F28" s="107">
        <v>26</v>
      </c>
      <c r="G28" s="126">
        <v>1</v>
      </c>
      <c r="H28" s="114" t="s">
        <v>114</v>
      </c>
      <c r="I28" s="25"/>
      <c r="J28" s="25"/>
      <c r="K28" s="25"/>
      <c r="L28" s="25"/>
      <c r="M28" s="208"/>
    </row>
    <row r="29" spans="1:18" ht="15.6" thickBot="1" x14ac:dyDescent="0.4">
      <c r="E29" s="129"/>
      <c r="F29" s="130">
        <v>27</v>
      </c>
      <c r="G29" s="131">
        <v>1</v>
      </c>
      <c r="H29" s="114" t="s">
        <v>116</v>
      </c>
      <c r="I29" s="25"/>
      <c r="J29" s="25"/>
      <c r="K29" s="25"/>
      <c r="L29" s="25"/>
      <c r="M29" s="208"/>
    </row>
  </sheetData>
  <autoFilter ref="G2:H29" xr:uid="{3D56788D-8E80-49E0-8821-B4B592191235}">
    <sortState xmlns:xlrd2="http://schemas.microsoft.com/office/spreadsheetml/2017/richdata2" ref="G3:H29">
      <sortCondition descending="1" ref="G2:G29"/>
    </sortState>
  </autoFilter>
  <mergeCells count="6">
    <mergeCell ref="S10:T10"/>
    <mergeCell ref="J13:J16"/>
    <mergeCell ref="J3:J7"/>
    <mergeCell ref="J8:J12"/>
    <mergeCell ref="M18:M29"/>
    <mergeCell ref="O10:Q10"/>
  </mergeCells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F52FF-9222-4DF8-825A-86DA09B1D2BB}">
  <dimension ref="A1:I32"/>
  <sheetViews>
    <sheetView workbookViewId="0">
      <selection activeCell="L11" sqref="L11"/>
    </sheetView>
  </sheetViews>
  <sheetFormatPr defaultRowHeight="18" x14ac:dyDescent="0.35"/>
  <cols>
    <col min="1" max="2" width="8.88671875" style="61"/>
    <col min="3" max="3" width="2.77734375" style="61" customWidth="1"/>
    <col min="4" max="4" width="39.88671875" style="61" customWidth="1"/>
    <col min="5" max="5" width="2.88671875" style="61" customWidth="1"/>
    <col min="6" max="7" width="8.88671875" style="61"/>
    <col min="8" max="8" width="3.5546875" style="61" customWidth="1"/>
    <col min="9" max="9" width="27" style="61" customWidth="1"/>
    <col min="10" max="16384" width="8.88671875" style="61"/>
  </cols>
  <sheetData>
    <row r="1" spans="1:9" ht="15" customHeight="1" thickBot="1" x14ac:dyDescent="0.4">
      <c r="A1" s="230">
        <v>1</v>
      </c>
      <c r="B1" s="231"/>
      <c r="C1" s="232"/>
      <c r="F1" s="180"/>
      <c r="G1" s="181">
        <v>2</v>
      </c>
      <c r="H1" s="185"/>
      <c r="I1" s="68"/>
    </row>
    <row r="2" spans="1:9" ht="14.4" customHeight="1" x14ac:dyDescent="0.35">
      <c r="A2" s="217" t="s">
        <v>162</v>
      </c>
      <c r="B2" s="218"/>
      <c r="C2" s="218"/>
      <c r="D2" s="68"/>
      <c r="F2" s="212" t="s">
        <v>78</v>
      </c>
      <c r="G2" s="213"/>
      <c r="H2" s="214"/>
      <c r="I2" s="68"/>
    </row>
    <row r="3" spans="1:9" ht="14.4" customHeight="1" x14ac:dyDescent="0.35">
      <c r="A3" s="215" t="s">
        <v>191</v>
      </c>
      <c r="B3" s="216"/>
      <c r="C3" s="216"/>
      <c r="D3" s="68"/>
      <c r="F3" s="221" t="s">
        <v>197</v>
      </c>
      <c r="G3" s="222"/>
      <c r="H3" s="223"/>
      <c r="I3" s="68"/>
    </row>
    <row r="4" spans="1:9" ht="14.4" customHeight="1" x14ac:dyDescent="0.35">
      <c r="A4" s="215"/>
      <c r="B4" s="216"/>
      <c r="C4" s="216"/>
      <c r="D4" s="68"/>
      <c r="F4" s="224"/>
      <c r="G4" s="225"/>
      <c r="H4" s="226"/>
      <c r="I4" s="68"/>
    </row>
    <row r="5" spans="1:9" ht="14.4" customHeight="1" x14ac:dyDescent="0.35">
      <c r="A5" s="215" t="s">
        <v>80</v>
      </c>
      <c r="B5" s="216"/>
      <c r="C5" s="216"/>
      <c r="D5" s="68"/>
      <c r="F5" s="221" t="s">
        <v>68</v>
      </c>
      <c r="G5" s="222"/>
      <c r="H5" s="223"/>
      <c r="I5" s="68"/>
    </row>
    <row r="6" spans="1:9" ht="14.4" customHeight="1" x14ac:dyDescent="0.35">
      <c r="A6" s="215"/>
      <c r="B6" s="216"/>
      <c r="C6" s="216"/>
      <c r="D6" s="68"/>
      <c r="F6" s="224"/>
      <c r="G6" s="225"/>
      <c r="H6" s="226"/>
      <c r="I6" s="68"/>
    </row>
    <row r="7" spans="1:9" ht="14.4" customHeight="1" x14ac:dyDescent="0.35">
      <c r="A7" s="215" t="s">
        <v>192</v>
      </c>
      <c r="B7" s="216"/>
      <c r="C7" s="216"/>
      <c r="D7" s="68"/>
      <c r="F7" s="221" t="s">
        <v>198</v>
      </c>
      <c r="G7" s="222"/>
      <c r="H7" s="223"/>
      <c r="I7" s="68"/>
    </row>
    <row r="8" spans="1:9" ht="14.4" customHeight="1" x14ac:dyDescent="0.35">
      <c r="A8" s="215"/>
      <c r="B8" s="216"/>
      <c r="C8" s="216"/>
      <c r="D8" s="68"/>
      <c r="F8" s="224"/>
      <c r="G8" s="225"/>
      <c r="H8" s="226"/>
      <c r="I8" s="68"/>
    </row>
    <row r="9" spans="1:9" ht="15" customHeight="1" x14ac:dyDescent="0.35">
      <c r="A9" s="215" t="s">
        <v>83</v>
      </c>
      <c r="B9" s="216"/>
      <c r="C9" s="216"/>
      <c r="D9" s="68"/>
      <c r="F9" s="221" t="s">
        <v>199</v>
      </c>
      <c r="G9" s="222"/>
      <c r="H9" s="223"/>
      <c r="I9" s="68"/>
    </row>
    <row r="10" spans="1:9" ht="15" customHeight="1" thickBot="1" x14ac:dyDescent="0.4">
      <c r="A10" s="219"/>
      <c r="B10" s="220"/>
      <c r="C10" s="220"/>
      <c r="D10" s="68"/>
      <c r="F10" s="227"/>
      <c r="G10" s="228"/>
      <c r="H10" s="229"/>
      <c r="I10" s="68"/>
    </row>
    <row r="11" spans="1:9" ht="15" customHeight="1" x14ac:dyDescent="0.35">
      <c r="A11" s="182"/>
      <c r="B11" s="183"/>
      <c r="C11" s="184"/>
    </row>
    <row r="12" spans="1:9" ht="14.4" customHeight="1" thickBot="1" x14ac:dyDescent="0.4">
      <c r="B12" s="61">
        <v>4</v>
      </c>
    </row>
    <row r="13" spans="1:9" ht="14.4" customHeight="1" thickBot="1" x14ac:dyDescent="0.4">
      <c r="A13" s="217" t="s">
        <v>79</v>
      </c>
      <c r="B13" s="218"/>
      <c r="C13" s="218"/>
      <c r="D13" s="186"/>
      <c r="E13" s="183"/>
      <c r="G13" s="61">
        <v>3</v>
      </c>
    </row>
    <row r="14" spans="1:9" ht="14.4" customHeight="1" x14ac:dyDescent="0.35">
      <c r="A14" s="215"/>
      <c r="B14" s="216"/>
      <c r="C14" s="216"/>
      <c r="D14" s="68"/>
      <c r="F14" s="217" t="s">
        <v>200</v>
      </c>
      <c r="G14" s="218"/>
      <c r="H14" s="218"/>
      <c r="I14" s="68"/>
    </row>
    <row r="15" spans="1:9" ht="14.4" customHeight="1" x14ac:dyDescent="0.35">
      <c r="A15" s="215" t="s">
        <v>193</v>
      </c>
      <c r="B15" s="216"/>
      <c r="C15" s="216"/>
      <c r="D15" s="68"/>
      <c r="F15" s="215"/>
      <c r="G15" s="216"/>
      <c r="H15" s="216"/>
      <c r="I15" s="68"/>
    </row>
    <row r="16" spans="1:9" ht="14.4" customHeight="1" x14ac:dyDescent="0.35">
      <c r="A16" s="215"/>
      <c r="B16" s="216"/>
      <c r="C16" s="216"/>
      <c r="D16" s="68"/>
      <c r="F16" s="215" t="s">
        <v>201</v>
      </c>
      <c r="G16" s="216"/>
      <c r="H16" s="216"/>
      <c r="I16" s="68"/>
    </row>
    <row r="17" spans="1:9" ht="14.4" customHeight="1" x14ac:dyDescent="0.35">
      <c r="A17" s="215" t="s">
        <v>194</v>
      </c>
      <c r="B17" s="216"/>
      <c r="C17" s="216"/>
      <c r="D17" s="68"/>
      <c r="F17" s="215"/>
      <c r="G17" s="216"/>
      <c r="H17" s="216"/>
      <c r="I17" s="68"/>
    </row>
    <row r="18" spans="1:9" ht="14.4" customHeight="1" x14ac:dyDescent="0.35">
      <c r="A18" s="215"/>
      <c r="B18" s="216"/>
      <c r="C18" s="216"/>
      <c r="D18" s="68"/>
      <c r="F18" s="215" t="s">
        <v>70</v>
      </c>
      <c r="G18" s="216"/>
      <c r="H18" s="216"/>
      <c r="I18" s="68"/>
    </row>
    <row r="19" spans="1:9" ht="14.4" customHeight="1" x14ac:dyDescent="0.35">
      <c r="A19" s="215" t="s">
        <v>195</v>
      </c>
      <c r="B19" s="216"/>
      <c r="C19" s="216"/>
      <c r="D19" s="68"/>
      <c r="F19" s="215"/>
      <c r="G19" s="216"/>
      <c r="H19" s="216"/>
      <c r="I19" s="68"/>
    </row>
    <row r="20" spans="1:9" ht="14.4" customHeight="1" x14ac:dyDescent="0.35">
      <c r="A20" s="215"/>
      <c r="B20" s="216"/>
      <c r="C20" s="216"/>
      <c r="D20" s="68"/>
      <c r="F20" s="215" t="s">
        <v>202</v>
      </c>
      <c r="G20" s="216"/>
      <c r="H20" s="216"/>
      <c r="I20" s="68"/>
    </row>
    <row r="21" spans="1:9" ht="14.4" customHeight="1" x14ac:dyDescent="0.35">
      <c r="A21" s="215" t="s">
        <v>196</v>
      </c>
      <c r="B21" s="216"/>
      <c r="C21" s="216"/>
      <c r="D21" s="68"/>
      <c r="F21" s="215"/>
      <c r="G21" s="216"/>
      <c r="H21" s="216"/>
      <c r="I21" s="68"/>
    </row>
    <row r="22" spans="1:9" ht="15" customHeight="1" thickBot="1" x14ac:dyDescent="0.4">
      <c r="A22" s="219"/>
      <c r="B22" s="220"/>
      <c r="C22" s="220"/>
      <c r="D22" s="68"/>
      <c r="F22" s="215" t="s">
        <v>203</v>
      </c>
      <c r="G22" s="216"/>
      <c r="H22" s="216"/>
      <c r="I22" s="68"/>
    </row>
    <row r="23" spans="1:9" ht="14.4" customHeight="1" thickBot="1" x14ac:dyDescent="0.4">
      <c r="A23" s="215" t="s">
        <v>204</v>
      </c>
      <c r="B23" s="216"/>
      <c r="C23" s="216"/>
      <c r="D23" s="68"/>
      <c r="F23" s="219"/>
      <c r="G23" s="220"/>
      <c r="H23" s="220"/>
      <c r="I23" s="68"/>
    </row>
    <row r="24" spans="1:9" ht="15" customHeight="1" thickBot="1" x14ac:dyDescent="0.4">
      <c r="A24" s="219"/>
      <c r="B24" s="220"/>
      <c r="C24" s="220"/>
      <c r="D24" s="68"/>
    </row>
    <row r="26" spans="1:9" ht="18.600000000000001" thickBot="1" x14ac:dyDescent="0.4">
      <c r="B26" s="61">
        <v>5</v>
      </c>
    </row>
    <row r="27" spans="1:9" x14ac:dyDescent="0.35">
      <c r="A27" s="217" t="s">
        <v>73</v>
      </c>
      <c r="B27" s="218"/>
      <c r="C27" s="218"/>
      <c r="D27" s="68"/>
    </row>
    <row r="28" spans="1:9" x14ac:dyDescent="0.35">
      <c r="A28" s="215">
        <v>27</v>
      </c>
      <c r="B28" s="216"/>
      <c r="C28" s="216"/>
      <c r="D28" s="68"/>
    </row>
    <row r="29" spans="1:9" x14ac:dyDescent="0.35">
      <c r="A29" s="215" t="s">
        <v>205</v>
      </c>
      <c r="B29" s="216"/>
      <c r="C29" s="216"/>
      <c r="D29" s="68"/>
    </row>
    <row r="30" spans="1:9" x14ac:dyDescent="0.35">
      <c r="A30" s="215" t="s">
        <v>206</v>
      </c>
      <c r="B30" s="216"/>
      <c r="C30" s="216"/>
      <c r="D30" s="68"/>
    </row>
    <row r="31" spans="1:9" x14ac:dyDescent="0.35">
      <c r="A31" s="215" t="s">
        <v>81</v>
      </c>
      <c r="B31" s="216"/>
      <c r="C31" s="216"/>
      <c r="D31" s="68"/>
    </row>
    <row r="32" spans="1:9" x14ac:dyDescent="0.35">
      <c r="A32" s="215" t="s">
        <v>207</v>
      </c>
      <c r="B32" s="216"/>
      <c r="C32" s="216"/>
      <c r="D32" s="68"/>
    </row>
  </sheetData>
  <mergeCells count="28">
    <mergeCell ref="A7:C8"/>
    <mergeCell ref="A9:C10"/>
    <mergeCell ref="A1:C1"/>
    <mergeCell ref="A2:C2"/>
    <mergeCell ref="A3:C4"/>
    <mergeCell ref="A5:C6"/>
    <mergeCell ref="A29:C29"/>
    <mergeCell ref="A30:C30"/>
    <mergeCell ref="A31:C31"/>
    <mergeCell ref="A13:C14"/>
    <mergeCell ref="A15:C16"/>
    <mergeCell ref="A17:C18"/>
    <mergeCell ref="F2:H2"/>
    <mergeCell ref="A32:C32"/>
    <mergeCell ref="F14:H15"/>
    <mergeCell ref="F16:H17"/>
    <mergeCell ref="F18:H19"/>
    <mergeCell ref="F20:H21"/>
    <mergeCell ref="A23:C24"/>
    <mergeCell ref="F22:H23"/>
    <mergeCell ref="F3:H4"/>
    <mergeCell ref="F5:H6"/>
    <mergeCell ref="F7:H8"/>
    <mergeCell ref="F9:H10"/>
    <mergeCell ref="A19:C20"/>
    <mergeCell ref="A21:C22"/>
    <mergeCell ref="A27:C27"/>
    <mergeCell ref="A28:C28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610E-3768-4E13-9613-16ADBA560C85}">
  <dimension ref="A1:N35"/>
  <sheetViews>
    <sheetView workbookViewId="0">
      <selection activeCell="S9" sqref="S9"/>
    </sheetView>
  </sheetViews>
  <sheetFormatPr defaultRowHeight="14.4" x14ac:dyDescent="0.3"/>
  <cols>
    <col min="1" max="1" width="4" style="26" customWidth="1"/>
    <col min="2" max="12" width="10.33203125" customWidth="1"/>
    <col min="13" max="13" width="10.33203125" style="22" customWidth="1"/>
    <col min="14" max="15" width="10.33203125" customWidth="1"/>
  </cols>
  <sheetData>
    <row r="1" spans="1:14" ht="46.2" x14ac:dyDescent="0.3">
      <c r="B1" s="235" t="s">
        <v>14</v>
      </c>
      <c r="C1" s="235"/>
      <c r="D1" s="235"/>
      <c r="E1" s="235"/>
      <c r="F1" s="235"/>
      <c r="G1" s="235"/>
      <c r="H1" s="235"/>
      <c r="I1" s="235"/>
      <c r="J1" s="235"/>
      <c r="K1" s="235"/>
      <c r="M1"/>
    </row>
    <row r="2" spans="1:14" ht="15" thickBot="1" x14ac:dyDescent="0.35">
      <c r="M2"/>
    </row>
    <row r="3" spans="1:14" ht="15" thickBot="1" x14ac:dyDescent="0.35">
      <c r="B3" s="1"/>
      <c r="C3" s="236" t="s">
        <v>1</v>
      </c>
      <c r="D3" s="237"/>
      <c r="E3" s="238"/>
      <c r="F3" s="2">
        <v>1</v>
      </c>
      <c r="G3" s="2">
        <v>2</v>
      </c>
      <c r="H3" s="2">
        <v>3</v>
      </c>
      <c r="I3" s="3">
        <v>4</v>
      </c>
      <c r="J3" s="3">
        <v>5</v>
      </c>
      <c r="K3" s="1" t="s">
        <v>2</v>
      </c>
      <c r="L3" s="2" t="s">
        <v>3</v>
      </c>
      <c r="M3" s="4" t="s">
        <v>4</v>
      </c>
    </row>
    <row r="4" spans="1:14" ht="23.4" x14ac:dyDescent="0.45">
      <c r="B4" s="239">
        <v>1</v>
      </c>
      <c r="C4" s="241" t="s">
        <v>162</v>
      </c>
      <c r="D4" s="242"/>
      <c r="E4" s="243"/>
      <c r="F4" s="5" t="s">
        <v>5</v>
      </c>
      <c r="G4" s="6" t="str">
        <f ca="1">INDIRECT(ADDRESS(23,6))&amp;":"&amp;INDIRECT(ADDRESS(23,7))</f>
        <v>13:7</v>
      </c>
      <c r="H4" s="6" t="str">
        <f ca="1">INDIRECT(ADDRESS(26,7))&amp;":"&amp;INDIRECT(ADDRESS(26,6))</f>
        <v>7:13</v>
      </c>
      <c r="I4" s="6" t="str">
        <f ca="1">INDIRECT(ADDRESS(30,6))&amp;":"&amp;INDIRECT(ADDRESS(30,7))</f>
        <v>13:4</v>
      </c>
      <c r="J4" s="7" t="str">
        <f ca="1">INDIRECT(ADDRESS(35,7))&amp;":"&amp;INDIRECT(ADDRESS(35,6))</f>
        <v>12:8</v>
      </c>
      <c r="K4" s="247">
        <f ca="1">IF(COUNT(F5:J5)=0,"",COUNTIF(F5:J5,"&gt;0")+0.5*COUNTIF(F5:J5,0))</f>
        <v>3</v>
      </c>
      <c r="L4" s="8"/>
      <c r="M4" s="233">
        <v>1</v>
      </c>
      <c r="N4" s="194" t="s">
        <v>230</v>
      </c>
    </row>
    <row r="5" spans="1:14" ht="21" x14ac:dyDescent="0.3">
      <c r="B5" s="240"/>
      <c r="C5" s="244"/>
      <c r="D5" s="245"/>
      <c r="E5" s="246"/>
      <c r="F5" s="9" t="s">
        <v>5</v>
      </c>
      <c r="G5" s="10">
        <f ca="1">IF(LEN(INDIRECT(ADDRESS(ROW()-1, COLUMN())))=1,"",INDIRECT(ADDRESS(23,6))-INDIRECT(ADDRESS(23,7)))</f>
        <v>6</v>
      </c>
      <c r="H5" s="10">
        <f ca="1">IF(LEN(INDIRECT(ADDRESS(ROW()-1, COLUMN())))=1,"",INDIRECT(ADDRESS(26,7))-INDIRECT(ADDRESS(26,6)))</f>
        <v>-6</v>
      </c>
      <c r="I5" s="10">
        <f ca="1">IF(LEN(INDIRECT(ADDRESS(ROW()-1, COLUMN())))=1,"",INDIRECT(ADDRESS(30,6))-INDIRECT(ADDRESS(30,7)))</f>
        <v>9</v>
      </c>
      <c r="J5" s="11">
        <f ca="1">IF(LEN(INDIRECT(ADDRESS(ROW()-1, COLUMN())))=1,"",INDIRECT(ADDRESS(35,7))-INDIRECT(ADDRESS(35,6)))</f>
        <v>4</v>
      </c>
      <c r="K5" s="248"/>
      <c r="L5" s="10">
        <f ca="1">IF(COUNT(F5:J5)=0,"",SUM(F5:J5))</f>
        <v>13</v>
      </c>
      <c r="M5" s="234"/>
    </row>
    <row r="6" spans="1:14" ht="21" x14ac:dyDescent="0.3">
      <c r="B6" s="249">
        <v>2</v>
      </c>
      <c r="C6" s="244" t="s">
        <v>191</v>
      </c>
      <c r="D6" s="245"/>
      <c r="E6" s="246"/>
      <c r="F6" s="12" t="str">
        <f ca="1">INDIRECT(ADDRESS(23,7))&amp;":"&amp;INDIRECT(ADDRESS(23,6))</f>
        <v>7:13</v>
      </c>
      <c r="G6" s="13" t="s">
        <v>5</v>
      </c>
      <c r="H6" s="14" t="str">
        <f ca="1">INDIRECT(ADDRESS(31,6))&amp;":"&amp;INDIRECT(ADDRESS(31,7))</f>
        <v>13:7</v>
      </c>
      <c r="I6" s="187" t="str">
        <f ca="1">INDIRECT(ADDRESS(34,7))&amp;":"&amp;INDIRECT(ADDRESS(34,6))</f>
        <v>3:13</v>
      </c>
      <c r="J6" s="188" t="str">
        <f ca="1">INDIRECT(ADDRESS(18,6))&amp;":"&amp;INDIRECT(ADDRESS(18,7))</f>
        <v>13:6</v>
      </c>
      <c r="K6" s="248">
        <f ca="1">IF(COUNT(F7:J7)=0,"",COUNTIF(F7:J7,"&gt;0")+0.5*COUNTIF(F7:J7,0))</f>
        <v>2</v>
      </c>
      <c r="L6" s="189">
        <v>-3</v>
      </c>
      <c r="M6" s="250">
        <v>4</v>
      </c>
    </row>
    <row r="7" spans="1:14" ht="21" x14ac:dyDescent="0.3">
      <c r="B7" s="240"/>
      <c r="C7" s="244"/>
      <c r="D7" s="245"/>
      <c r="E7" s="246"/>
      <c r="F7" s="16">
        <f ca="1">IF(LEN(INDIRECT(ADDRESS(ROW()-1, COLUMN())))=1,"",INDIRECT(ADDRESS(23,7))-INDIRECT(ADDRESS(23,6)))</f>
        <v>-6</v>
      </c>
      <c r="G7" s="17" t="s">
        <v>5</v>
      </c>
      <c r="H7" s="10">
        <f ca="1">IF(LEN(INDIRECT(ADDRESS(ROW()-1, COLUMN())))=1,"",INDIRECT(ADDRESS(31,6))-INDIRECT(ADDRESS(31,7)))</f>
        <v>6</v>
      </c>
      <c r="I7" s="189">
        <f ca="1">IF(LEN(INDIRECT(ADDRESS(ROW()-1, COLUMN())))=1,"",INDIRECT(ADDRESS(34,7))-INDIRECT(ADDRESS(34,6)))</f>
        <v>-10</v>
      </c>
      <c r="J7" s="190">
        <f ca="1">IF(LEN(INDIRECT(ADDRESS(ROW()-1, COLUMN())))=1,"",INDIRECT(ADDRESS(18,6))-INDIRECT(ADDRESS(18,7)))</f>
        <v>7</v>
      </c>
      <c r="K7" s="248"/>
      <c r="L7" s="10">
        <f ca="1">IF(COUNT(F7:J7)=0,"",SUM(F7:J7))</f>
        <v>-3</v>
      </c>
      <c r="M7" s="250"/>
    </row>
    <row r="8" spans="1:14" ht="21" x14ac:dyDescent="0.3">
      <c r="B8" s="249">
        <v>3</v>
      </c>
      <c r="C8" s="244" t="s">
        <v>80</v>
      </c>
      <c r="D8" s="245"/>
      <c r="E8" s="246"/>
      <c r="F8" s="12" t="str">
        <f ca="1">INDIRECT(ADDRESS(26,6))&amp;":"&amp;INDIRECT(ADDRESS(26,7))</f>
        <v>13:7</v>
      </c>
      <c r="G8" s="191" t="str">
        <f ca="1">INDIRECT(ADDRESS(31,7))&amp;":"&amp;INDIRECT(ADDRESS(31,6))</f>
        <v>7:13</v>
      </c>
      <c r="H8" s="13" t="s">
        <v>5</v>
      </c>
      <c r="I8" s="191" t="str">
        <f ca="1">INDIRECT(ADDRESS(19,6))&amp;":"&amp;INDIRECT(ADDRESS(19,7))</f>
        <v>6:13</v>
      </c>
      <c r="J8" s="15" t="str">
        <f ca="1">INDIRECT(ADDRESS(22,7))&amp;":"&amp;INDIRECT(ADDRESS(22,6))</f>
        <v>2:13</v>
      </c>
      <c r="K8" s="248">
        <f ca="1">IF(COUNT(F9:J9)=0,"",COUNTIF(F9:J9,"&gt;0")+0.5*COUNTIF(F9:J9,0))</f>
        <v>1</v>
      </c>
      <c r="L8" s="192"/>
      <c r="M8" s="250">
        <v>5</v>
      </c>
    </row>
    <row r="9" spans="1:14" ht="21" x14ac:dyDescent="0.3">
      <c r="B9" s="240"/>
      <c r="C9" s="244"/>
      <c r="D9" s="245"/>
      <c r="E9" s="246"/>
      <c r="F9" s="16">
        <f ca="1">IF(LEN(INDIRECT(ADDRESS(ROW()-1, COLUMN())))=1,"",INDIRECT(ADDRESS(26,6))-INDIRECT(ADDRESS(26,7)))</f>
        <v>6</v>
      </c>
      <c r="G9" s="192">
        <f ca="1">IF(LEN(INDIRECT(ADDRESS(ROW()-1, COLUMN())))=1,"",INDIRECT(ADDRESS(31,7))-INDIRECT(ADDRESS(31,6)))</f>
        <v>-6</v>
      </c>
      <c r="H9" s="17" t="s">
        <v>5</v>
      </c>
      <c r="I9" s="192">
        <f ca="1">IF(LEN(INDIRECT(ADDRESS(ROW()-1, COLUMN())))=1,"",INDIRECT(ADDRESS(19,6))-INDIRECT(ADDRESS(19,7)))</f>
        <v>-7</v>
      </c>
      <c r="J9" s="11">
        <f ca="1">IF(LEN(INDIRECT(ADDRESS(ROW()-1, COLUMN())))=1,"",INDIRECT(ADDRESS(22,7))-INDIRECT(ADDRESS(22,6)))</f>
        <v>-11</v>
      </c>
      <c r="K9" s="248"/>
      <c r="L9" s="10">
        <f ca="1">IF(COUNT(F9:J9)=0,"",SUM(F9:J9))</f>
        <v>-18</v>
      </c>
      <c r="M9" s="250"/>
    </row>
    <row r="10" spans="1:14" ht="21" x14ac:dyDescent="0.3">
      <c r="B10" s="249">
        <v>4</v>
      </c>
      <c r="C10" s="244" t="s">
        <v>192</v>
      </c>
      <c r="D10" s="245"/>
      <c r="E10" s="246"/>
      <c r="F10" s="12" t="str">
        <f ca="1">INDIRECT(ADDRESS(30,7))&amp;":"&amp;INDIRECT(ADDRESS(30,6))</f>
        <v>4:13</v>
      </c>
      <c r="G10" s="187" t="str">
        <f ca="1">INDIRECT(ADDRESS(34,6))&amp;":"&amp;INDIRECT(ADDRESS(34,7))</f>
        <v>13:3</v>
      </c>
      <c r="H10" s="14" t="str">
        <f ca="1">INDIRECT(ADDRESS(19,7))&amp;":"&amp;INDIRECT(ADDRESS(19,6))</f>
        <v>13:6</v>
      </c>
      <c r="I10" s="13" t="s">
        <v>5</v>
      </c>
      <c r="J10" s="188" t="str">
        <f ca="1">INDIRECT(ADDRESS(27,6))&amp;":"&amp;INDIRECT(ADDRESS(27,7))</f>
        <v>8:13</v>
      </c>
      <c r="K10" s="248">
        <f ca="1">IF(COUNT(F11:J11)=0,"",COUNTIF(F11:J11,"&gt;0")+0.5*COUNTIF(F11:J11,0))</f>
        <v>2</v>
      </c>
      <c r="L10" s="189">
        <v>5</v>
      </c>
      <c r="M10" s="234">
        <v>2</v>
      </c>
    </row>
    <row r="11" spans="1:14" ht="21" x14ac:dyDescent="0.3">
      <c r="B11" s="240"/>
      <c r="C11" s="244"/>
      <c r="D11" s="245"/>
      <c r="E11" s="246"/>
      <c r="F11" s="16">
        <f ca="1">IF(LEN(INDIRECT(ADDRESS(ROW()-1, COLUMN())))=1,"",INDIRECT(ADDRESS(30,7))-INDIRECT(ADDRESS(30,6)))</f>
        <v>-9</v>
      </c>
      <c r="G11" s="189">
        <f ca="1">IF(LEN(INDIRECT(ADDRESS(ROW()-1, COLUMN())))=1,"",INDIRECT(ADDRESS(34,6))-INDIRECT(ADDRESS(34,7)))</f>
        <v>10</v>
      </c>
      <c r="H11" s="10">
        <f ca="1">IF(LEN(INDIRECT(ADDRESS(ROW()-1, COLUMN())))=1,"",INDIRECT(ADDRESS(19,7))-INDIRECT(ADDRESS(19,6)))</f>
        <v>7</v>
      </c>
      <c r="I11" s="17" t="s">
        <v>5</v>
      </c>
      <c r="J11" s="190">
        <f ca="1">IF(LEN(INDIRECT(ADDRESS(ROW()-1, COLUMN())))=1,"",INDIRECT(ADDRESS(27,6))-INDIRECT(ADDRESS(27,7)))</f>
        <v>-5</v>
      </c>
      <c r="K11" s="248"/>
      <c r="L11" s="10">
        <f ca="1">IF(COUNT(F11:J11)=0,"",SUM(F11:J11))</f>
        <v>3</v>
      </c>
      <c r="M11" s="234"/>
    </row>
    <row r="12" spans="1:14" ht="21" x14ac:dyDescent="0.3">
      <c r="B12" s="249">
        <v>5</v>
      </c>
      <c r="C12" s="244" t="s">
        <v>83</v>
      </c>
      <c r="D12" s="245"/>
      <c r="E12" s="246"/>
      <c r="F12" s="12" t="str">
        <f ca="1">INDIRECT(ADDRESS(35,6))&amp;":"&amp;INDIRECT(ADDRESS(35,7))</f>
        <v>8:12</v>
      </c>
      <c r="G12" s="187" t="str">
        <f ca="1">INDIRECT(ADDRESS(18,7))&amp;":"&amp;INDIRECT(ADDRESS(18,6))</f>
        <v>6:13</v>
      </c>
      <c r="H12" s="14" t="str">
        <f ca="1">INDIRECT(ADDRESS(22,6))&amp;":"&amp;INDIRECT(ADDRESS(22,7))</f>
        <v>13:2</v>
      </c>
      <c r="I12" s="187" t="str">
        <f ca="1">INDIRECT(ADDRESS(27,7))&amp;":"&amp;INDIRECT(ADDRESS(27,6))</f>
        <v>13:8</v>
      </c>
      <c r="J12" s="18" t="s">
        <v>5</v>
      </c>
      <c r="K12" s="248">
        <f ca="1">IF(COUNT(F13:J13)=0,"",COUNTIF(F13:J13,"&gt;0")+0.5*COUNTIF(F13:J13,0))</f>
        <v>2</v>
      </c>
      <c r="L12" s="189">
        <v>-2</v>
      </c>
      <c r="M12" s="234">
        <v>3</v>
      </c>
    </row>
    <row r="13" spans="1:14" ht="21.6" thickBot="1" x14ac:dyDescent="0.35">
      <c r="B13" s="252"/>
      <c r="C13" s="253"/>
      <c r="D13" s="254"/>
      <c r="E13" s="255"/>
      <c r="F13" s="19">
        <f ca="1">IF(LEN(INDIRECT(ADDRESS(ROW()-1, COLUMN())))=1,"",INDIRECT(ADDRESS(35,6))-INDIRECT(ADDRESS(35,7)))</f>
        <v>-4</v>
      </c>
      <c r="G13" s="193">
        <f ca="1">IF(LEN(INDIRECT(ADDRESS(ROW()-1, COLUMN())))=1,"",INDIRECT(ADDRESS(18,7))-INDIRECT(ADDRESS(18,6)))</f>
        <v>-7</v>
      </c>
      <c r="H13" s="20">
        <f ca="1">IF(LEN(INDIRECT(ADDRESS(ROW()-1, COLUMN())))=1,"",INDIRECT(ADDRESS(22,6))-INDIRECT(ADDRESS(22,7)))</f>
        <v>11</v>
      </c>
      <c r="I13" s="193">
        <f ca="1">IF(LEN(INDIRECT(ADDRESS(ROW()-1, COLUMN())))=1,"",INDIRECT(ADDRESS(27,7))-INDIRECT(ADDRESS(27,6)))</f>
        <v>5</v>
      </c>
      <c r="J13" s="21" t="s">
        <v>5</v>
      </c>
      <c r="K13" s="256"/>
      <c r="L13" s="20">
        <f ca="1">IF(COUNT(F13:J13)=0,"",SUM(F13:J13))</f>
        <v>5</v>
      </c>
      <c r="M13" s="257"/>
    </row>
    <row r="14" spans="1:14" x14ac:dyDescent="0.3">
      <c r="M14"/>
    </row>
    <row r="15" spans="1:14" x14ac:dyDescent="0.3">
      <c r="A15" s="96"/>
      <c r="M15"/>
    </row>
    <row r="16" spans="1:14" x14ac:dyDescent="0.3">
      <c r="A16" s="96"/>
      <c r="M16"/>
    </row>
    <row r="17" spans="2:13" ht="21.6" thickBot="1" x14ac:dyDescent="0.4">
      <c r="B17" s="251" t="s">
        <v>7</v>
      </c>
      <c r="C17" s="251"/>
      <c r="D17" s="251"/>
      <c r="E17" s="251"/>
      <c r="F17" s="251"/>
      <c r="G17" s="251"/>
      <c r="H17" s="251"/>
      <c r="I17" s="251"/>
      <c r="J17" s="251"/>
      <c r="K17" s="251"/>
      <c r="M17" s="50"/>
    </row>
    <row r="18" spans="2:13" ht="24" thickBot="1" x14ac:dyDescent="0.45">
      <c r="B18" s="23">
        <v>2</v>
      </c>
      <c r="C18" s="258" t="str">
        <f ca="1">IF(ISBLANK(INDIRECT(ADDRESS(B18*2+2,3))),"",INDIRECT(ADDRESS(B18*2+2,3)))</f>
        <v>Салют</v>
      </c>
      <c r="D18" s="258"/>
      <c r="E18" s="259"/>
      <c r="F18" s="27">
        <v>13</v>
      </c>
      <c r="G18" s="28">
        <v>6</v>
      </c>
      <c r="H18" s="260" t="str">
        <f ca="1">IF(ISBLANK(INDIRECT(ADDRESS(K18*2+2,3))),"",INDIRECT(ADDRESS(K18*2+2,3)))</f>
        <v>Петергоф</v>
      </c>
      <c r="I18" s="258"/>
      <c r="J18" s="258"/>
      <c r="K18" s="23">
        <v>5</v>
      </c>
      <c r="L18" s="73" t="s">
        <v>8</v>
      </c>
      <c r="M18" s="155">
        <v>1</v>
      </c>
    </row>
    <row r="19" spans="2:13" ht="24" thickBot="1" x14ac:dyDescent="0.45">
      <c r="B19" s="23">
        <v>3</v>
      </c>
      <c r="C19" s="258" t="str">
        <f ca="1">IF(ISBLANK(INDIRECT(ADDRESS(B19*2+2,3))),"",INDIRECT(ADDRESS(B19*2+2,3)))</f>
        <v>Бикар</v>
      </c>
      <c r="D19" s="258"/>
      <c r="E19" s="259"/>
      <c r="F19" s="27">
        <v>6</v>
      </c>
      <c r="G19" s="28">
        <v>13</v>
      </c>
      <c r="H19" s="260" t="str">
        <f ca="1">IF(ISBLANK(INDIRECT(ADDRESS(K19*2+2,3))),"",INDIRECT(ADDRESS(K19*2+2,3)))</f>
        <v>Самба</v>
      </c>
      <c r="I19" s="258"/>
      <c r="J19" s="258"/>
      <c r="K19" s="23">
        <v>4</v>
      </c>
      <c r="L19" s="73" t="s">
        <v>8</v>
      </c>
      <c r="M19" s="155">
        <v>2</v>
      </c>
    </row>
    <row r="20" spans="2:13" ht="30" customHeight="1" x14ac:dyDescent="0.45">
      <c r="M20" s="156"/>
    </row>
    <row r="21" spans="2:13" ht="24" thickBot="1" x14ac:dyDescent="0.5">
      <c r="B21" s="251" t="s">
        <v>9</v>
      </c>
      <c r="C21" s="251"/>
      <c r="D21" s="251"/>
      <c r="E21" s="251"/>
      <c r="F21" s="251"/>
      <c r="G21" s="251"/>
      <c r="H21" s="251"/>
      <c r="I21" s="251"/>
      <c r="J21" s="251"/>
      <c r="K21" s="251"/>
      <c r="M21" s="156"/>
    </row>
    <row r="22" spans="2:13" ht="24" thickBot="1" x14ac:dyDescent="0.45">
      <c r="B22" s="23">
        <v>5</v>
      </c>
      <c r="C22" s="258" t="str">
        <f ca="1">IF(ISBLANK(INDIRECT(ADDRESS(B22*2+2,3))),"",INDIRECT(ADDRESS(B22*2+2,3)))</f>
        <v>Петергоф</v>
      </c>
      <c r="D22" s="258"/>
      <c r="E22" s="259"/>
      <c r="F22" s="27">
        <v>13</v>
      </c>
      <c r="G22" s="28">
        <v>2</v>
      </c>
      <c r="H22" s="260" t="str">
        <f ca="1">IF(ISBLANK(INDIRECT(ADDRESS(K22*2+2,3))),"",INDIRECT(ADDRESS(K22*2+2,3)))</f>
        <v>Бикар</v>
      </c>
      <c r="I22" s="258"/>
      <c r="J22" s="258"/>
      <c r="K22" s="23">
        <v>3</v>
      </c>
      <c r="L22" s="73" t="s">
        <v>8</v>
      </c>
      <c r="M22" s="155">
        <v>3</v>
      </c>
    </row>
    <row r="23" spans="2:13" ht="24" thickBot="1" x14ac:dyDescent="0.45">
      <c r="B23" s="23">
        <v>1</v>
      </c>
      <c r="C23" s="258" t="str">
        <f ca="1">IF(ISBLANK(INDIRECT(ADDRESS(B23*2+2,3))),"",INDIRECT(ADDRESS(B23*2+2,3)))</f>
        <v>Бадди</v>
      </c>
      <c r="D23" s="258"/>
      <c r="E23" s="259"/>
      <c r="F23" s="27">
        <v>13</v>
      </c>
      <c r="G23" s="28">
        <v>7</v>
      </c>
      <c r="H23" s="260" t="str">
        <f ca="1">IF(ISBLANK(INDIRECT(ADDRESS(K23*2+2,3))),"",INDIRECT(ADDRESS(K23*2+2,3)))</f>
        <v>Салют</v>
      </c>
      <c r="I23" s="258"/>
      <c r="J23" s="258"/>
      <c r="K23" s="23">
        <v>2</v>
      </c>
      <c r="L23" s="73" t="s">
        <v>8</v>
      </c>
      <c r="M23" s="155">
        <v>4</v>
      </c>
    </row>
    <row r="24" spans="2:13" ht="30" customHeight="1" x14ac:dyDescent="0.45">
      <c r="M24" s="156"/>
    </row>
    <row r="25" spans="2:13" ht="24" thickBot="1" x14ac:dyDescent="0.5">
      <c r="B25" s="251" t="s">
        <v>10</v>
      </c>
      <c r="C25" s="251"/>
      <c r="D25" s="251"/>
      <c r="E25" s="251"/>
      <c r="F25" s="251"/>
      <c r="G25" s="251"/>
      <c r="H25" s="251"/>
      <c r="I25" s="251"/>
      <c r="J25" s="251"/>
      <c r="K25" s="251"/>
      <c r="M25" s="156"/>
    </row>
    <row r="26" spans="2:13" ht="24" thickBot="1" x14ac:dyDescent="0.45">
      <c r="B26" s="23">
        <v>3</v>
      </c>
      <c r="C26" s="258" t="str">
        <f ca="1">IF(ISBLANK(INDIRECT(ADDRESS(B26*2+2,3))),"",INDIRECT(ADDRESS(B26*2+2,3)))</f>
        <v>Бикар</v>
      </c>
      <c r="D26" s="258"/>
      <c r="E26" s="259"/>
      <c r="F26" s="27">
        <v>13</v>
      </c>
      <c r="G26" s="28">
        <v>7</v>
      </c>
      <c r="H26" s="260" t="str">
        <f ca="1">IF(ISBLANK(INDIRECT(ADDRESS(K26*2+2,3))),"",INDIRECT(ADDRESS(K26*2+2,3)))</f>
        <v>Бадди</v>
      </c>
      <c r="I26" s="258"/>
      <c r="J26" s="258"/>
      <c r="K26" s="23">
        <v>1</v>
      </c>
      <c r="L26" s="73" t="s">
        <v>8</v>
      </c>
      <c r="M26" s="155">
        <v>5</v>
      </c>
    </row>
    <row r="27" spans="2:13" ht="24" thickBot="1" x14ac:dyDescent="0.45">
      <c r="B27" s="23">
        <v>4</v>
      </c>
      <c r="C27" s="258" t="str">
        <f ca="1">IF(ISBLANK(INDIRECT(ADDRESS(B27*2+2,3))),"",INDIRECT(ADDRESS(B27*2+2,3)))</f>
        <v>Самба</v>
      </c>
      <c r="D27" s="258"/>
      <c r="E27" s="259"/>
      <c r="F27" s="27">
        <v>8</v>
      </c>
      <c r="G27" s="28">
        <v>13</v>
      </c>
      <c r="H27" s="260" t="str">
        <f ca="1">IF(ISBLANK(INDIRECT(ADDRESS(K27*2+2,3))),"",INDIRECT(ADDRESS(K27*2+2,3)))</f>
        <v>Петергоф</v>
      </c>
      <c r="I27" s="258"/>
      <c r="J27" s="258"/>
      <c r="K27" s="23">
        <v>5</v>
      </c>
      <c r="L27" s="73" t="s">
        <v>8</v>
      </c>
      <c r="M27" s="155">
        <v>6</v>
      </c>
    </row>
    <row r="28" spans="2:13" ht="30" customHeight="1" x14ac:dyDescent="0.45">
      <c r="M28" s="156"/>
    </row>
    <row r="29" spans="2:13" ht="24" thickBot="1" x14ac:dyDescent="0.5">
      <c r="B29" s="251" t="s">
        <v>11</v>
      </c>
      <c r="C29" s="251"/>
      <c r="D29" s="251"/>
      <c r="E29" s="251"/>
      <c r="F29" s="251"/>
      <c r="G29" s="251"/>
      <c r="H29" s="251"/>
      <c r="I29" s="251"/>
      <c r="J29" s="251"/>
      <c r="K29" s="251"/>
      <c r="M29" s="156"/>
    </row>
    <row r="30" spans="2:13" ht="24" thickBot="1" x14ac:dyDescent="0.45">
      <c r="B30" s="23">
        <v>1</v>
      </c>
      <c r="C30" s="258" t="str">
        <f ca="1">IF(ISBLANK(INDIRECT(ADDRESS(B30*2+2,3))),"",INDIRECT(ADDRESS(B30*2+2,3)))</f>
        <v>Бадди</v>
      </c>
      <c r="D30" s="258"/>
      <c r="E30" s="259"/>
      <c r="F30" s="27">
        <v>13</v>
      </c>
      <c r="G30" s="28">
        <v>4</v>
      </c>
      <c r="H30" s="260" t="str">
        <f ca="1">IF(ISBLANK(INDIRECT(ADDRESS(K30*2+2,3))),"",INDIRECT(ADDRESS(K30*2+2,3)))</f>
        <v>Самба</v>
      </c>
      <c r="I30" s="258"/>
      <c r="J30" s="258"/>
      <c r="K30" s="23">
        <v>4</v>
      </c>
      <c r="L30" s="73" t="s">
        <v>8</v>
      </c>
      <c r="M30" s="155">
        <v>7</v>
      </c>
    </row>
    <row r="31" spans="2:13" ht="24" thickBot="1" x14ac:dyDescent="0.45">
      <c r="B31" s="23">
        <v>2</v>
      </c>
      <c r="C31" s="258" t="str">
        <f ca="1">IF(ISBLANK(INDIRECT(ADDRESS(B31*2+2,3))),"",INDIRECT(ADDRESS(B31*2+2,3)))</f>
        <v>Салют</v>
      </c>
      <c r="D31" s="258"/>
      <c r="E31" s="259"/>
      <c r="F31" s="27">
        <v>13</v>
      </c>
      <c r="G31" s="28">
        <v>7</v>
      </c>
      <c r="H31" s="260" t="str">
        <f ca="1">IF(ISBLANK(INDIRECT(ADDRESS(K31*2+2,3))),"",INDIRECT(ADDRESS(K31*2+2,3)))</f>
        <v>Бикар</v>
      </c>
      <c r="I31" s="258"/>
      <c r="J31" s="258"/>
      <c r="K31" s="23">
        <v>3</v>
      </c>
      <c r="L31" s="73" t="s">
        <v>8</v>
      </c>
      <c r="M31" s="155">
        <v>8</v>
      </c>
    </row>
    <row r="32" spans="2:13" ht="30" customHeight="1" x14ac:dyDescent="0.35">
      <c r="M32" s="51"/>
    </row>
    <row r="33" spans="2:13" ht="21.6" thickBot="1" x14ac:dyDescent="0.4">
      <c r="B33" s="251" t="s">
        <v>12</v>
      </c>
      <c r="C33" s="251"/>
      <c r="D33" s="251"/>
      <c r="E33" s="251"/>
      <c r="F33" s="251"/>
      <c r="G33" s="251"/>
      <c r="H33" s="251"/>
      <c r="I33" s="251"/>
      <c r="J33" s="251"/>
      <c r="K33" s="251"/>
      <c r="M33" s="51"/>
    </row>
    <row r="34" spans="2:13" ht="18.600000000000001" thickBot="1" x14ac:dyDescent="0.35">
      <c r="B34" s="23">
        <v>4</v>
      </c>
      <c r="C34" s="261" t="str">
        <f ca="1">IF(ISBLANK(INDIRECT(ADDRESS(B34*2+2,3))),"",INDIRECT(ADDRESS(B34*2+2,3)))</f>
        <v>Самба</v>
      </c>
      <c r="D34" s="261"/>
      <c r="E34" s="262"/>
      <c r="F34" s="27">
        <v>13</v>
      </c>
      <c r="G34" s="28">
        <v>3</v>
      </c>
      <c r="H34" s="263" t="str">
        <f ca="1">IF(ISBLANK(INDIRECT(ADDRESS(K34*2+2,3))),"",INDIRECT(ADDRESS(K34*2+2,3)))</f>
        <v>Салют</v>
      </c>
      <c r="I34" s="261"/>
      <c r="J34" s="261"/>
      <c r="K34" s="23">
        <v>2</v>
      </c>
      <c r="L34" s="73" t="s">
        <v>8</v>
      </c>
      <c r="M34" s="74">
        <v>9</v>
      </c>
    </row>
    <row r="35" spans="2:13" ht="18.600000000000001" thickBot="1" x14ac:dyDescent="0.35">
      <c r="B35" s="23">
        <v>5</v>
      </c>
      <c r="C35" s="261" t="str">
        <f ca="1">IF(ISBLANK(INDIRECT(ADDRESS(B35*2+2,3))),"",INDIRECT(ADDRESS(B35*2+2,3)))</f>
        <v>Петергоф</v>
      </c>
      <c r="D35" s="261"/>
      <c r="E35" s="262"/>
      <c r="F35" s="27">
        <v>8</v>
      </c>
      <c r="G35" s="28">
        <v>12</v>
      </c>
      <c r="H35" s="263" t="str">
        <f ca="1">IF(ISBLANK(INDIRECT(ADDRESS(K35*2+2,3))),"",INDIRECT(ADDRESS(K35*2+2,3)))</f>
        <v>Бадди</v>
      </c>
      <c r="I35" s="261"/>
      <c r="J35" s="261"/>
      <c r="K35" s="23">
        <v>1</v>
      </c>
      <c r="L35" s="73" t="s">
        <v>8</v>
      </c>
      <c r="M35" s="74">
        <v>10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1219-94C3-490E-957E-AB1C3A5EE790}">
  <dimension ref="A1:M35"/>
  <sheetViews>
    <sheetView workbookViewId="0">
      <selection activeCell="O12" sqref="O12"/>
    </sheetView>
  </sheetViews>
  <sheetFormatPr defaultRowHeight="14.4" x14ac:dyDescent="0.3"/>
  <cols>
    <col min="1" max="1" width="4" style="26" customWidth="1"/>
    <col min="2" max="12" width="10.33203125" customWidth="1"/>
    <col min="13" max="13" width="10.33203125" style="22" customWidth="1"/>
    <col min="14" max="15" width="10.33203125" customWidth="1"/>
  </cols>
  <sheetData>
    <row r="1" spans="1:13" ht="46.2" x14ac:dyDescent="0.3">
      <c r="B1" s="235" t="s">
        <v>124</v>
      </c>
      <c r="C1" s="235"/>
      <c r="D1" s="235"/>
      <c r="E1" s="235"/>
      <c r="F1" s="235"/>
      <c r="G1" s="235"/>
      <c r="H1" s="235"/>
      <c r="I1" s="235"/>
      <c r="J1" s="235"/>
      <c r="K1" s="235"/>
      <c r="M1"/>
    </row>
    <row r="2" spans="1:13" ht="15" thickBot="1" x14ac:dyDescent="0.35">
      <c r="M2"/>
    </row>
    <row r="3" spans="1:13" ht="15" thickBot="1" x14ac:dyDescent="0.35">
      <c r="B3" s="1"/>
      <c r="C3" s="236" t="s">
        <v>1</v>
      </c>
      <c r="D3" s="237"/>
      <c r="E3" s="238"/>
      <c r="F3" s="2">
        <v>1</v>
      </c>
      <c r="G3" s="2">
        <v>2</v>
      </c>
      <c r="H3" s="2">
        <v>3</v>
      </c>
      <c r="I3" s="3">
        <v>4</v>
      </c>
      <c r="J3" s="3">
        <v>5</v>
      </c>
      <c r="K3" s="1" t="s">
        <v>2</v>
      </c>
      <c r="L3" s="2" t="s">
        <v>3</v>
      </c>
      <c r="M3" s="4" t="s">
        <v>4</v>
      </c>
    </row>
    <row r="4" spans="1:13" ht="21" x14ac:dyDescent="0.3">
      <c r="B4" s="239">
        <v>1</v>
      </c>
      <c r="C4" s="241" t="s">
        <v>78</v>
      </c>
      <c r="D4" s="242"/>
      <c r="E4" s="243"/>
      <c r="F4" s="5" t="s">
        <v>5</v>
      </c>
      <c r="G4" s="6" t="str">
        <f ca="1">INDIRECT(ADDRESS(23,6))&amp;":"&amp;INDIRECT(ADDRESS(23,7))</f>
        <v>13:6</v>
      </c>
      <c r="H4" s="6" t="str">
        <f ca="1">INDIRECT(ADDRESS(26,7))&amp;":"&amp;INDIRECT(ADDRESS(26,6))</f>
        <v>1:13</v>
      </c>
      <c r="I4" s="6" t="str">
        <f ca="1">INDIRECT(ADDRESS(30,6))&amp;":"&amp;INDIRECT(ADDRESS(30,7))</f>
        <v>13:4</v>
      </c>
      <c r="J4" s="7" t="str">
        <f ca="1">INDIRECT(ADDRESS(35,7))&amp;":"&amp;INDIRECT(ADDRESS(35,6))</f>
        <v>13:10</v>
      </c>
      <c r="K4" s="247">
        <f ca="1">IF(COUNT(F5:J5)=0,"",COUNTIF(F5:J5,"&gt;0")+0.5*COUNTIF(F5:J5,0))</f>
        <v>3</v>
      </c>
      <c r="L4" s="8"/>
      <c r="M4" s="233">
        <v>2</v>
      </c>
    </row>
    <row r="5" spans="1:13" ht="21" x14ac:dyDescent="0.3">
      <c r="B5" s="240"/>
      <c r="C5" s="244"/>
      <c r="D5" s="245"/>
      <c r="E5" s="246"/>
      <c r="F5" s="9" t="s">
        <v>5</v>
      </c>
      <c r="G5" s="10">
        <f ca="1">IF(LEN(INDIRECT(ADDRESS(ROW()-1, COLUMN())))=1,"",INDIRECT(ADDRESS(23,6))-INDIRECT(ADDRESS(23,7)))</f>
        <v>7</v>
      </c>
      <c r="H5" s="10">
        <f ca="1">IF(LEN(INDIRECT(ADDRESS(ROW()-1, COLUMN())))=1,"",INDIRECT(ADDRESS(26,7))-INDIRECT(ADDRESS(26,6)))</f>
        <v>-12</v>
      </c>
      <c r="I5" s="10">
        <f ca="1">IF(LEN(INDIRECT(ADDRESS(ROW()-1, COLUMN())))=1,"",INDIRECT(ADDRESS(30,6))-INDIRECT(ADDRESS(30,7)))</f>
        <v>9</v>
      </c>
      <c r="J5" s="11">
        <f ca="1">IF(LEN(INDIRECT(ADDRESS(ROW()-1, COLUMN())))=1,"",INDIRECT(ADDRESS(35,7))-INDIRECT(ADDRESS(35,6)))</f>
        <v>3</v>
      </c>
      <c r="K5" s="248"/>
      <c r="L5" s="10">
        <f ca="1">IF(COUNT(F5:J5)=0,"",SUM(F5:J5))</f>
        <v>7</v>
      </c>
      <c r="M5" s="234"/>
    </row>
    <row r="6" spans="1:13" ht="21" x14ac:dyDescent="0.3">
      <c r="B6" s="249">
        <v>2</v>
      </c>
      <c r="C6" s="244" t="s">
        <v>197</v>
      </c>
      <c r="D6" s="245"/>
      <c r="E6" s="246"/>
      <c r="F6" s="12" t="str">
        <f ca="1">INDIRECT(ADDRESS(23,7))&amp;":"&amp;INDIRECT(ADDRESS(23,6))</f>
        <v>6:13</v>
      </c>
      <c r="G6" s="13" t="s">
        <v>5</v>
      </c>
      <c r="H6" s="14" t="str">
        <f ca="1">INDIRECT(ADDRESS(31,6))&amp;":"&amp;INDIRECT(ADDRESS(31,7))</f>
        <v>2:13</v>
      </c>
      <c r="I6" s="14" t="str">
        <f ca="1">INDIRECT(ADDRESS(34,7))&amp;":"&amp;INDIRECT(ADDRESS(34,6))</f>
        <v>2:13</v>
      </c>
      <c r="J6" s="15" t="str">
        <f ca="1">INDIRECT(ADDRESS(18,6))&amp;":"&amp;INDIRECT(ADDRESS(18,7))</f>
        <v>8:12</v>
      </c>
      <c r="K6" s="248">
        <f ca="1">IF(COUNT(F7:J7)=0,"",COUNTIF(F7:J7,"&gt;0")+0.5*COUNTIF(F7:J7,0))</f>
        <v>0</v>
      </c>
      <c r="L6" s="10"/>
      <c r="M6" s="250">
        <v>5</v>
      </c>
    </row>
    <row r="7" spans="1:13" ht="21" x14ac:dyDescent="0.3">
      <c r="B7" s="240"/>
      <c r="C7" s="244"/>
      <c r="D7" s="245"/>
      <c r="E7" s="246"/>
      <c r="F7" s="16">
        <f ca="1">IF(LEN(INDIRECT(ADDRESS(ROW()-1, COLUMN())))=1,"",INDIRECT(ADDRESS(23,7))-INDIRECT(ADDRESS(23,6)))</f>
        <v>-7</v>
      </c>
      <c r="G7" s="17" t="s">
        <v>5</v>
      </c>
      <c r="H7" s="10">
        <f ca="1">IF(LEN(INDIRECT(ADDRESS(ROW()-1, COLUMN())))=1,"",INDIRECT(ADDRESS(31,6))-INDIRECT(ADDRESS(31,7)))</f>
        <v>-11</v>
      </c>
      <c r="I7" s="10">
        <f ca="1">IF(LEN(INDIRECT(ADDRESS(ROW()-1, COLUMN())))=1,"",INDIRECT(ADDRESS(34,7))-INDIRECT(ADDRESS(34,6)))</f>
        <v>-11</v>
      </c>
      <c r="J7" s="11">
        <f ca="1">IF(LEN(INDIRECT(ADDRESS(ROW()-1, COLUMN())))=1,"",INDIRECT(ADDRESS(18,6))-INDIRECT(ADDRESS(18,7)))</f>
        <v>-4</v>
      </c>
      <c r="K7" s="248"/>
      <c r="L7" s="10">
        <f ca="1">IF(COUNT(F7:J7)=0,"",SUM(F7:J7))</f>
        <v>-33</v>
      </c>
      <c r="M7" s="250"/>
    </row>
    <row r="8" spans="1:13" ht="21" x14ac:dyDescent="0.3">
      <c r="B8" s="249">
        <v>3</v>
      </c>
      <c r="C8" s="244" t="s">
        <v>68</v>
      </c>
      <c r="D8" s="245"/>
      <c r="E8" s="246"/>
      <c r="F8" s="12" t="str">
        <f ca="1">INDIRECT(ADDRESS(26,6))&amp;":"&amp;INDIRECT(ADDRESS(26,7))</f>
        <v>13:1</v>
      </c>
      <c r="G8" s="14" t="str">
        <f ca="1">INDIRECT(ADDRESS(31,7))&amp;":"&amp;INDIRECT(ADDRESS(31,6))</f>
        <v>13:2</v>
      </c>
      <c r="H8" s="13" t="s">
        <v>5</v>
      </c>
      <c r="I8" s="14" t="str">
        <f ca="1">INDIRECT(ADDRESS(19,6))&amp;":"&amp;INDIRECT(ADDRESS(19,7))</f>
        <v>13:11</v>
      </c>
      <c r="J8" s="15" t="str">
        <f ca="1">INDIRECT(ADDRESS(22,7))&amp;":"&amp;INDIRECT(ADDRESS(22,6))</f>
        <v>13:8</v>
      </c>
      <c r="K8" s="248">
        <f ca="1">IF(COUNT(F9:J9)=0,"",COUNTIF(F9:J9,"&gt;0")+0.5*COUNTIF(F9:J9,0))</f>
        <v>4</v>
      </c>
      <c r="L8" s="10"/>
      <c r="M8" s="234">
        <v>1</v>
      </c>
    </row>
    <row r="9" spans="1:13" ht="21" x14ac:dyDescent="0.3">
      <c r="B9" s="240"/>
      <c r="C9" s="244"/>
      <c r="D9" s="245"/>
      <c r="E9" s="246"/>
      <c r="F9" s="16">
        <f ca="1">IF(LEN(INDIRECT(ADDRESS(ROW()-1, COLUMN())))=1,"",INDIRECT(ADDRESS(26,6))-INDIRECT(ADDRESS(26,7)))</f>
        <v>12</v>
      </c>
      <c r="G9" s="10">
        <f ca="1">IF(LEN(INDIRECT(ADDRESS(ROW()-1, COLUMN())))=1,"",INDIRECT(ADDRESS(31,7))-INDIRECT(ADDRESS(31,6)))</f>
        <v>11</v>
      </c>
      <c r="H9" s="17" t="s">
        <v>5</v>
      </c>
      <c r="I9" s="10">
        <f ca="1">IF(LEN(INDIRECT(ADDRESS(ROW()-1, COLUMN())))=1,"",INDIRECT(ADDRESS(19,6))-INDIRECT(ADDRESS(19,7)))</f>
        <v>2</v>
      </c>
      <c r="J9" s="11">
        <f ca="1">IF(LEN(INDIRECT(ADDRESS(ROW()-1, COLUMN())))=1,"",INDIRECT(ADDRESS(22,7))-INDIRECT(ADDRESS(22,6)))</f>
        <v>5</v>
      </c>
      <c r="K9" s="248"/>
      <c r="L9" s="10">
        <f ca="1">IF(COUNT(F9:J9)=0,"",SUM(F9:J9))</f>
        <v>30</v>
      </c>
      <c r="M9" s="234"/>
    </row>
    <row r="10" spans="1:13" ht="21" x14ac:dyDescent="0.3">
      <c r="B10" s="249">
        <v>4</v>
      </c>
      <c r="C10" s="244" t="s">
        <v>198</v>
      </c>
      <c r="D10" s="245"/>
      <c r="E10" s="246"/>
      <c r="F10" s="12" t="str">
        <f ca="1">INDIRECT(ADDRESS(30,7))&amp;":"&amp;INDIRECT(ADDRESS(30,6))</f>
        <v>4:13</v>
      </c>
      <c r="G10" s="14" t="str">
        <f ca="1">INDIRECT(ADDRESS(34,6))&amp;":"&amp;INDIRECT(ADDRESS(34,7))</f>
        <v>13:2</v>
      </c>
      <c r="H10" s="14" t="str">
        <f ca="1">INDIRECT(ADDRESS(19,7))&amp;":"&amp;INDIRECT(ADDRESS(19,6))</f>
        <v>11:13</v>
      </c>
      <c r="I10" s="13" t="s">
        <v>5</v>
      </c>
      <c r="J10" s="15" t="str">
        <f ca="1">INDIRECT(ADDRESS(27,6))&amp;":"&amp;INDIRECT(ADDRESS(27,7))</f>
        <v>2:13</v>
      </c>
      <c r="K10" s="248">
        <f ca="1">IF(COUNT(F11:J11)=0,"",COUNTIF(F11:J11,"&gt;0")+0.5*COUNTIF(F11:J11,0))</f>
        <v>1</v>
      </c>
      <c r="L10" s="10"/>
      <c r="M10" s="250">
        <v>4</v>
      </c>
    </row>
    <row r="11" spans="1:13" ht="21" x14ac:dyDescent="0.3">
      <c r="B11" s="240"/>
      <c r="C11" s="244"/>
      <c r="D11" s="245"/>
      <c r="E11" s="246"/>
      <c r="F11" s="16">
        <f ca="1">IF(LEN(INDIRECT(ADDRESS(ROW()-1, COLUMN())))=1,"",INDIRECT(ADDRESS(30,7))-INDIRECT(ADDRESS(30,6)))</f>
        <v>-9</v>
      </c>
      <c r="G11" s="10">
        <f ca="1">IF(LEN(INDIRECT(ADDRESS(ROW()-1, COLUMN())))=1,"",INDIRECT(ADDRESS(34,6))-INDIRECT(ADDRESS(34,7)))</f>
        <v>11</v>
      </c>
      <c r="H11" s="10">
        <f ca="1">IF(LEN(INDIRECT(ADDRESS(ROW()-1, COLUMN())))=1,"",INDIRECT(ADDRESS(19,7))-INDIRECT(ADDRESS(19,6)))</f>
        <v>-2</v>
      </c>
      <c r="I11" s="17" t="s">
        <v>5</v>
      </c>
      <c r="J11" s="11">
        <f ca="1">IF(LEN(INDIRECT(ADDRESS(ROW()-1, COLUMN())))=1,"",INDIRECT(ADDRESS(27,6))-INDIRECT(ADDRESS(27,7)))</f>
        <v>-11</v>
      </c>
      <c r="K11" s="248"/>
      <c r="L11" s="10">
        <f ca="1">IF(COUNT(F11:J11)=0,"",SUM(F11:J11))</f>
        <v>-11</v>
      </c>
      <c r="M11" s="250"/>
    </row>
    <row r="12" spans="1:13" ht="21" x14ac:dyDescent="0.3">
      <c r="B12" s="249">
        <v>5</v>
      </c>
      <c r="C12" s="244" t="s">
        <v>199</v>
      </c>
      <c r="D12" s="245"/>
      <c r="E12" s="246"/>
      <c r="F12" s="12" t="str">
        <f ca="1">INDIRECT(ADDRESS(35,6))&amp;":"&amp;INDIRECT(ADDRESS(35,7))</f>
        <v>10:13</v>
      </c>
      <c r="G12" s="14" t="str">
        <f ca="1">INDIRECT(ADDRESS(18,7))&amp;":"&amp;INDIRECT(ADDRESS(18,6))</f>
        <v>12:8</v>
      </c>
      <c r="H12" s="14" t="str">
        <f ca="1">INDIRECT(ADDRESS(22,6))&amp;":"&amp;INDIRECT(ADDRESS(22,7))</f>
        <v>8:13</v>
      </c>
      <c r="I12" s="14" t="str">
        <f ca="1">INDIRECT(ADDRESS(27,7))&amp;":"&amp;INDIRECT(ADDRESS(27,6))</f>
        <v>13:2</v>
      </c>
      <c r="J12" s="18" t="s">
        <v>5</v>
      </c>
      <c r="K12" s="248">
        <f ca="1">IF(COUNT(F13:J13)=0,"",COUNTIF(F13:J13,"&gt;0")+0.5*COUNTIF(F13:J13,0))</f>
        <v>2</v>
      </c>
      <c r="L12" s="10"/>
      <c r="M12" s="234">
        <v>3</v>
      </c>
    </row>
    <row r="13" spans="1:13" ht="21.6" thickBot="1" x14ac:dyDescent="0.35">
      <c r="B13" s="252"/>
      <c r="C13" s="253"/>
      <c r="D13" s="254"/>
      <c r="E13" s="255"/>
      <c r="F13" s="19">
        <f ca="1">IF(LEN(INDIRECT(ADDRESS(ROW()-1, COLUMN())))=1,"",INDIRECT(ADDRESS(35,6))-INDIRECT(ADDRESS(35,7)))</f>
        <v>-3</v>
      </c>
      <c r="G13" s="20">
        <f ca="1">IF(LEN(INDIRECT(ADDRESS(ROW()-1, COLUMN())))=1,"",INDIRECT(ADDRESS(18,7))-INDIRECT(ADDRESS(18,6)))</f>
        <v>4</v>
      </c>
      <c r="H13" s="20">
        <f ca="1">IF(LEN(INDIRECT(ADDRESS(ROW()-1, COLUMN())))=1,"",INDIRECT(ADDRESS(22,6))-INDIRECT(ADDRESS(22,7)))</f>
        <v>-5</v>
      </c>
      <c r="I13" s="20">
        <f ca="1">IF(LEN(INDIRECT(ADDRESS(ROW()-1, COLUMN())))=1,"",INDIRECT(ADDRESS(27,7))-INDIRECT(ADDRESS(27,6)))</f>
        <v>11</v>
      </c>
      <c r="J13" s="21" t="s">
        <v>5</v>
      </c>
      <c r="K13" s="256"/>
      <c r="L13" s="20">
        <f ca="1">IF(COUNT(F13:J13)=0,"",SUM(F13:J13))</f>
        <v>7</v>
      </c>
      <c r="M13" s="257"/>
    </row>
    <row r="14" spans="1:13" x14ac:dyDescent="0.3">
      <c r="M14"/>
    </row>
    <row r="15" spans="1:13" x14ac:dyDescent="0.3">
      <c r="A15" s="96"/>
      <c r="M15"/>
    </row>
    <row r="16" spans="1:13" x14ac:dyDescent="0.3">
      <c r="M16"/>
    </row>
    <row r="17" spans="2:13" ht="21.6" thickBot="1" x14ac:dyDescent="0.35">
      <c r="B17" s="251" t="s">
        <v>123</v>
      </c>
      <c r="C17" s="251"/>
      <c r="D17" s="251"/>
      <c r="E17" s="251"/>
      <c r="F17" s="251"/>
      <c r="G17" s="251"/>
      <c r="H17" s="251"/>
      <c r="I17" s="251"/>
      <c r="J17" s="251"/>
      <c r="K17" s="251"/>
    </row>
    <row r="18" spans="2:13" ht="26.4" thickBot="1" x14ac:dyDescent="0.55000000000000004">
      <c r="B18" s="23">
        <v>2</v>
      </c>
      <c r="C18" s="264" t="str">
        <f ca="1">IF(ISBLANK(INDIRECT(ADDRESS(B18*2+2,3))),"",INDIRECT(ADDRESS(B18*2+2,3)))</f>
        <v>Гольф Академия</v>
      </c>
      <c r="D18" s="264"/>
      <c r="E18" s="265"/>
      <c r="F18" s="27">
        <v>8</v>
      </c>
      <c r="G18" s="28">
        <v>12</v>
      </c>
      <c r="H18" s="266" t="str">
        <f ca="1">IF(ISBLANK(INDIRECT(ADDRESS(K18*2+2,3))),"",INDIRECT(ADDRESS(K18*2+2,3)))</f>
        <v>Титаны +</v>
      </c>
      <c r="I18" s="264"/>
      <c r="J18" s="264"/>
      <c r="K18" s="23">
        <v>5</v>
      </c>
      <c r="L18" s="73" t="s">
        <v>8</v>
      </c>
      <c r="M18" s="159">
        <v>9</v>
      </c>
    </row>
    <row r="19" spans="2:13" ht="26.4" thickBot="1" x14ac:dyDescent="0.55000000000000004">
      <c r="B19" s="23">
        <v>3</v>
      </c>
      <c r="C19" s="264" t="str">
        <f ca="1">IF(ISBLANK(INDIRECT(ADDRESS(B19*2+2,3))),"",INDIRECT(ADDRESS(B19*2+2,3)))</f>
        <v>ВДВ</v>
      </c>
      <c r="D19" s="264"/>
      <c r="E19" s="265"/>
      <c r="F19" s="27">
        <v>13</v>
      </c>
      <c r="G19" s="28">
        <v>11</v>
      </c>
      <c r="H19" s="266" t="str">
        <f ca="1">IF(ISBLANK(INDIRECT(ADDRESS(K19*2+2,3))),"",INDIRECT(ADDRESS(K19*2+2,3)))</f>
        <v>Купаж</v>
      </c>
      <c r="I19" s="264"/>
      <c r="J19" s="264"/>
      <c r="K19" s="23">
        <v>4</v>
      </c>
      <c r="L19" s="73" t="s">
        <v>8</v>
      </c>
      <c r="M19" s="159">
        <v>1</v>
      </c>
    </row>
    <row r="20" spans="2:13" ht="30" customHeight="1" x14ac:dyDescent="0.4">
      <c r="M20" s="154"/>
    </row>
    <row r="21" spans="2:13" ht="21.6" thickBot="1" x14ac:dyDescent="0.45">
      <c r="B21" s="251" t="s">
        <v>125</v>
      </c>
      <c r="C21" s="251"/>
      <c r="D21" s="251"/>
      <c r="E21" s="251"/>
      <c r="F21" s="251"/>
      <c r="G21" s="251"/>
      <c r="H21" s="251"/>
      <c r="I21" s="251"/>
      <c r="J21" s="251"/>
      <c r="K21" s="251"/>
      <c r="M21" s="154"/>
    </row>
    <row r="22" spans="2:13" ht="26.4" thickBot="1" x14ac:dyDescent="0.55000000000000004">
      <c r="B22" s="23">
        <v>5</v>
      </c>
      <c r="C22" s="264" t="str">
        <f ca="1">IF(ISBLANK(INDIRECT(ADDRESS(B22*2+2,3))),"",INDIRECT(ADDRESS(B22*2+2,3)))</f>
        <v>Титаны +</v>
      </c>
      <c r="D22" s="264"/>
      <c r="E22" s="265"/>
      <c r="F22" s="27">
        <v>8</v>
      </c>
      <c r="G22" s="28">
        <v>13</v>
      </c>
      <c r="H22" s="266" t="str">
        <f ca="1">IF(ISBLANK(INDIRECT(ADDRESS(K22*2+2,3))),"",INDIRECT(ADDRESS(K22*2+2,3)))</f>
        <v>ВДВ</v>
      </c>
      <c r="I22" s="264"/>
      <c r="J22" s="264"/>
      <c r="K22" s="23">
        <v>3</v>
      </c>
      <c r="L22" s="73" t="s">
        <v>8</v>
      </c>
      <c r="M22" s="159">
        <v>3</v>
      </c>
    </row>
    <row r="23" spans="2:13" ht="26.4" thickBot="1" x14ac:dyDescent="0.55000000000000004">
      <c r="B23" s="23">
        <v>1</v>
      </c>
      <c r="C23" s="264" t="str">
        <f ca="1">IF(ISBLANK(INDIRECT(ADDRESS(B23*2+2,3))),"",INDIRECT(ADDRESS(B23*2+2,3)))</f>
        <v>Валькирии</v>
      </c>
      <c r="D23" s="264"/>
      <c r="E23" s="265"/>
      <c r="F23" s="27">
        <v>13</v>
      </c>
      <c r="G23" s="28">
        <v>6</v>
      </c>
      <c r="H23" s="266" t="str">
        <f ca="1">IF(ISBLANK(INDIRECT(ADDRESS(K23*2+2,3))),"",INDIRECT(ADDRESS(K23*2+2,3)))</f>
        <v>Гольф Академия</v>
      </c>
      <c r="I23" s="264"/>
      <c r="J23" s="264"/>
      <c r="K23" s="23">
        <v>2</v>
      </c>
      <c r="L23" s="73" t="s">
        <v>8</v>
      </c>
      <c r="M23" s="159">
        <v>4</v>
      </c>
    </row>
    <row r="24" spans="2:13" ht="30" customHeight="1" x14ac:dyDescent="0.5">
      <c r="H24" s="157"/>
      <c r="I24" s="157"/>
      <c r="J24" s="157"/>
      <c r="M24" s="154"/>
    </row>
    <row r="25" spans="2:13" ht="21.6" thickBot="1" x14ac:dyDescent="0.45">
      <c r="B25" s="251" t="s">
        <v>10</v>
      </c>
      <c r="C25" s="251"/>
      <c r="D25" s="251"/>
      <c r="E25" s="251"/>
      <c r="F25" s="251"/>
      <c r="G25" s="251"/>
      <c r="H25" s="251"/>
      <c r="I25" s="251"/>
      <c r="J25" s="251"/>
      <c r="K25" s="251"/>
      <c r="M25" s="154"/>
    </row>
    <row r="26" spans="2:13" ht="26.4" thickBot="1" x14ac:dyDescent="0.55000000000000004">
      <c r="B26" s="23">
        <v>3</v>
      </c>
      <c r="C26" s="264" t="str">
        <f ca="1">IF(ISBLANK(INDIRECT(ADDRESS(B26*2+2,3))),"",INDIRECT(ADDRESS(B26*2+2,3)))</f>
        <v>ВДВ</v>
      </c>
      <c r="D26" s="264"/>
      <c r="E26" s="265"/>
      <c r="F26" s="27">
        <v>13</v>
      </c>
      <c r="G26" s="28">
        <v>1</v>
      </c>
      <c r="H26" s="266" t="str">
        <f ca="1">IF(ISBLANK(INDIRECT(ADDRESS(K26*2+2,3))),"",INDIRECT(ADDRESS(K26*2+2,3)))</f>
        <v>Валькирии</v>
      </c>
      <c r="I26" s="264"/>
      <c r="J26" s="264"/>
      <c r="K26" s="23">
        <v>1</v>
      </c>
      <c r="L26" s="73" t="s">
        <v>8</v>
      </c>
      <c r="M26" s="159">
        <v>9</v>
      </c>
    </row>
    <row r="27" spans="2:13" ht="26.4" thickBot="1" x14ac:dyDescent="0.55000000000000004">
      <c r="B27" s="23">
        <v>4</v>
      </c>
      <c r="C27" s="264" t="str">
        <f ca="1">IF(ISBLANK(INDIRECT(ADDRESS(B27*2+2,3))),"",INDIRECT(ADDRESS(B27*2+2,3)))</f>
        <v>Купаж</v>
      </c>
      <c r="D27" s="264"/>
      <c r="E27" s="265"/>
      <c r="F27" s="27">
        <v>2</v>
      </c>
      <c r="G27" s="28">
        <v>13</v>
      </c>
      <c r="H27" s="266" t="str">
        <f ca="1">IF(ISBLANK(INDIRECT(ADDRESS(K27*2+2,3))),"",INDIRECT(ADDRESS(K27*2+2,3)))</f>
        <v>Титаны +</v>
      </c>
      <c r="I27" s="264"/>
      <c r="J27" s="264"/>
      <c r="K27" s="23">
        <v>5</v>
      </c>
      <c r="L27" s="73" t="s">
        <v>8</v>
      </c>
      <c r="M27" s="159">
        <v>10</v>
      </c>
    </row>
    <row r="28" spans="2:13" ht="30" customHeight="1" x14ac:dyDescent="0.4">
      <c r="M28" s="154"/>
    </row>
    <row r="29" spans="2:13" ht="21.6" thickBot="1" x14ac:dyDescent="0.45">
      <c r="B29" s="251" t="s">
        <v>11</v>
      </c>
      <c r="C29" s="251"/>
      <c r="D29" s="251"/>
      <c r="E29" s="251"/>
      <c r="F29" s="251"/>
      <c r="G29" s="251"/>
      <c r="H29" s="251"/>
      <c r="I29" s="251"/>
      <c r="J29" s="251"/>
      <c r="K29" s="251"/>
      <c r="M29" s="154"/>
    </row>
    <row r="30" spans="2:13" ht="26.4" thickBot="1" x14ac:dyDescent="0.55000000000000004">
      <c r="B30" s="23">
        <v>1</v>
      </c>
      <c r="C30" s="264" t="str">
        <f ca="1">IF(ISBLANK(INDIRECT(ADDRESS(B30*2+2,3))),"",INDIRECT(ADDRESS(B30*2+2,3)))</f>
        <v>Валькирии</v>
      </c>
      <c r="D30" s="264"/>
      <c r="E30" s="265"/>
      <c r="F30" s="27">
        <v>13</v>
      </c>
      <c r="G30" s="28">
        <v>4</v>
      </c>
      <c r="H30" s="266" t="str">
        <f ca="1">IF(ISBLANK(INDIRECT(ADDRESS(K30*2+2,3))),"",INDIRECT(ADDRESS(K30*2+2,3)))</f>
        <v>Купаж</v>
      </c>
      <c r="I30" s="264"/>
      <c r="J30" s="264"/>
      <c r="K30" s="23">
        <v>4</v>
      </c>
      <c r="L30" s="73" t="s">
        <v>8</v>
      </c>
      <c r="M30" s="160" t="s">
        <v>157</v>
      </c>
    </row>
    <row r="31" spans="2:13" ht="26.4" thickBot="1" x14ac:dyDescent="0.55000000000000004">
      <c r="B31" s="23">
        <v>2</v>
      </c>
      <c r="C31" s="264" t="str">
        <f ca="1">IF(ISBLANK(INDIRECT(ADDRESS(B31*2+2,3))),"",INDIRECT(ADDRESS(B31*2+2,3)))</f>
        <v>Гольф Академия</v>
      </c>
      <c r="D31" s="264"/>
      <c r="E31" s="265"/>
      <c r="F31" s="27">
        <v>2</v>
      </c>
      <c r="G31" s="28">
        <v>13</v>
      </c>
      <c r="H31" s="266" t="str">
        <f ca="1">IF(ISBLANK(INDIRECT(ADDRESS(K31*2+2,3))),"",INDIRECT(ADDRESS(K31*2+2,3)))</f>
        <v>ВДВ</v>
      </c>
      <c r="I31" s="264"/>
      <c r="J31" s="264"/>
      <c r="K31" s="23">
        <v>3</v>
      </c>
      <c r="L31" s="73" t="s">
        <v>8</v>
      </c>
      <c r="M31" s="159" t="s">
        <v>158</v>
      </c>
    </row>
    <row r="32" spans="2:13" ht="30" customHeight="1" x14ac:dyDescent="0.4">
      <c r="M32" s="154"/>
    </row>
    <row r="33" spans="2:13" ht="21.6" thickBot="1" x14ac:dyDescent="0.45">
      <c r="B33" s="251" t="s">
        <v>12</v>
      </c>
      <c r="C33" s="251"/>
      <c r="D33" s="251"/>
      <c r="E33" s="251"/>
      <c r="F33" s="251"/>
      <c r="G33" s="251"/>
      <c r="H33" s="251"/>
      <c r="I33" s="251"/>
      <c r="J33" s="251"/>
      <c r="K33" s="251"/>
      <c r="M33" s="154"/>
    </row>
    <row r="34" spans="2:13" ht="26.4" thickBot="1" x14ac:dyDescent="0.55000000000000004">
      <c r="B34" s="23">
        <v>4</v>
      </c>
      <c r="C34" s="264" t="str">
        <f ca="1">IF(ISBLANK(INDIRECT(ADDRESS(B34*2+2,3))),"",INDIRECT(ADDRESS(B34*2+2,3)))</f>
        <v>Купаж</v>
      </c>
      <c r="D34" s="264"/>
      <c r="E34" s="265"/>
      <c r="F34" s="27">
        <v>13</v>
      </c>
      <c r="G34" s="28">
        <v>2</v>
      </c>
      <c r="H34" s="266" t="str">
        <f ca="1">IF(ISBLANK(INDIRECT(ADDRESS(K34*2+2,3))),"",INDIRECT(ADDRESS(K34*2+2,3)))</f>
        <v>Гольф Академия</v>
      </c>
      <c r="I34" s="264"/>
      <c r="J34" s="264"/>
      <c r="K34" s="23">
        <v>2</v>
      </c>
      <c r="L34" s="73" t="s">
        <v>8</v>
      </c>
      <c r="M34" s="160" t="s">
        <v>159</v>
      </c>
    </row>
    <row r="35" spans="2:13" ht="26.4" thickBot="1" x14ac:dyDescent="0.55000000000000004">
      <c r="B35" s="23">
        <v>5</v>
      </c>
      <c r="C35" s="264" t="str">
        <f ca="1">IF(ISBLANK(INDIRECT(ADDRESS(B35*2+2,3))),"",INDIRECT(ADDRESS(B35*2+2,3)))</f>
        <v>Титаны +</v>
      </c>
      <c r="D35" s="264"/>
      <c r="E35" s="265"/>
      <c r="F35" s="27">
        <v>10</v>
      </c>
      <c r="G35" s="28">
        <v>13</v>
      </c>
      <c r="H35" s="266" t="str">
        <f ca="1">IF(ISBLANK(INDIRECT(ADDRESS(K35*2+2,3))),"",INDIRECT(ADDRESS(K35*2+2,3)))</f>
        <v>Валькирии</v>
      </c>
      <c r="I35" s="264"/>
      <c r="J35" s="264"/>
      <c r="K35" s="23">
        <v>1</v>
      </c>
      <c r="L35" s="73" t="s">
        <v>8</v>
      </c>
      <c r="M35" s="159" t="s">
        <v>62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BB13B-5417-4EBE-B834-CA99C22AF034}">
  <dimension ref="A1:M35"/>
  <sheetViews>
    <sheetView topLeftCell="A6" workbookViewId="0">
      <selection activeCell="O7" sqref="O7"/>
    </sheetView>
  </sheetViews>
  <sheetFormatPr defaultRowHeight="14.4" x14ac:dyDescent="0.3"/>
  <cols>
    <col min="1" max="1" width="4" style="26" customWidth="1"/>
    <col min="2" max="12" width="10.33203125" customWidth="1"/>
    <col min="13" max="13" width="10.33203125" style="22" customWidth="1"/>
    <col min="14" max="15" width="10.33203125" customWidth="1"/>
  </cols>
  <sheetData>
    <row r="1" spans="1:13" ht="46.2" x14ac:dyDescent="0.3">
      <c r="B1" s="235" t="s">
        <v>126</v>
      </c>
      <c r="C1" s="235"/>
      <c r="D1" s="235"/>
      <c r="E1" s="235"/>
      <c r="F1" s="235"/>
      <c r="G1" s="235"/>
      <c r="H1" s="235"/>
      <c r="I1" s="235"/>
      <c r="J1" s="235"/>
      <c r="K1" s="235"/>
      <c r="M1"/>
    </row>
    <row r="2" spans="1:13" ht="15" thickBot="1" x14ac:dyDescent="0.35">
      <c r="M2"/>
    </row>
    <row r="3" spans="1:13" ht="15" thickBot="1" x14ac:dyDescent="0.35">
      <c r="B3" s="1"/>
      <c r="C3" s="236" t="s">
        <v>1</v>
      </c>
      <c r="D3" s="237"/>
      <c r="E3" s="238"/>
      <c r="F3" s="2">
        <v>1</v>
      </c>
      <c r="G3" s="2">
        <v>2</v>
      </c>
      <c r="H3" s="2">
        <v>3</v>
      </c>
      <c r="I3" s="3">
        <v>4</v>
      </c>
      <c r="J3" s="3">
        <v>5</v>
      </c>
      <c r="K3" s="1" t="s">
        <v>2</v>
      </c>
      <c r="L3" s="2" t="s">
        <v>3</v>
      </c>
      <c r="M3" s="4" t="s">
        <v>4</v>
      </c>
    </row>
    <row r="4" spans="1:13" ht="21" x14ac:dyDescent="0.3">
      <c r="B4" s="239">
        <v>1</v>
      </c>
      <c r="C4" s="241" t="s">
        <v>200</v>
      </c>
      <c r="D4" s="242"/>
      <c r="E4" s="243"/>
      <c r="F4" s="5" t="s">
        <v>5</v>
      </c>
      <c r="G4" s="6" t="str">
        <f ca="1">INDIRECT(ADDRESS(23,6))&amp;":"&amp;INDIRECT(ADDRESS(23,7))</f>
        <v>13:2</v>
      </c>
      <c r="H4" s="6" t="str">
        <f ca="1">INDIRECT(ADDRESS(26,7))&amp;":"&amp;INDIRECT(ADDRESS(26,6))</f>
        <v>2:13</v>
      </c>
      <c r="I4" s="6" t="str">
        <f ca="1">INDIRECT(ADDRESS(30,6))&amp;":"&amp;INDIRECT(ADDRESS(30,7))</f>
        <v>12:7</v>
      </c>
      <c r="J4" s="7" t="str">
        <f ca="1">INDIRECT(ADDRESS(35,7))&amp;":"&amp;INDIRECT(ADDRESS(35,6))</f>
        <v>12:6</v>
      </c>
      <c r="K4" s="247">
        <f ca="1">IF(COUNT(F5:J5)=0,"",COUNTIF(F5:J5,"&gt;0")+0.5*COUNTIF(F5:J5,0))</f>
        <v>3</v>
      </c>
      <c r="L4" s="8"/>
      <c r="M4" s="233">
        <v>2</v>
      </c>
    </row>
    <row r="5" spans="1:13" ht="21" x14ac:dyDescent="0.3">
      <c r="B5" s="240"/>
      <c r="C5" s="244"/>
      <c r="D5" s="245"/>
      <c r="E5" s="246"/>
      <c r="F5" s="9" t="s">
        <v>5</v>
      </c>
      <c r="G5" s="10">
        <f ca="1">IF(LEN(INDIRECT(ADDRESS(ROW()-1, COLUMN())))=1,"",INDIRECT(ADDRESS(23,6))-INDIRECT(ADDRESS(23,7)))</f>
        <v>11</v>
      </c>
      <c r="H5" s="10">
        <f ca="1">IF(LEN(INDIRECT(ADDRESS(ROW()-1, COLUMN())))=1,"",INDIRECT(ADDRESS(26,7))-INDIRECT(ADDRESS(26,6)))</f>
        <v>-11</v>
      </c>
      <c r="I5" s="10">
        <f ca="1">IF(LEN(INDIRECT(ADDRESS(ROW()-1, COLUMN())))=1,"",INDIRECT(ADDRESS(30,6))-INDIRECT(ADDRESS(30,7)))</f>
        <v>5</v>
      </c>
      <c r="J5" s="11">
        <f ca="1">IF(LEN(INDIRECT(ADDRESS(ROW()-1, COLUMN())))=1,"",INDIRECT(ADDRESS(35,7))-INDIRECT(ADDRESS(35,6)))</f>
        <v>6</v>
      </c>
      <c r="K5" s="248"/>
      <c r="L5" s="10">
        <f ca="1">IF(COUNT(F5:J5)=0,"",SUM(F5:J5))</f>
        <v>11</v>
      </c>
      <c r="M5" s="234"/>
    </row>
    <row r="6" spans="1:13" ht="21" x14ac:dyDescent="0.3">
      <c r="B6" s="249">
        <v>2</v>
      </c>
      <c r="C6" s="244" t="s">
        <v>201</v>
      </c>
      <c r="D6" s="245"/>
      <c r="E6" s="246"/>
      <c r="F6" s="12" t="str">
        <f ca="1">INDIRECT(ADDRESS(23,7))&amp;":"&amp;INDIRECT(ADDRESS(23,6))</f>
        <v>2:13</v>
      </c>
      <c r="G6" s="13" t="s">
        <v>5</v>
      </c>
      <c r="H6" s="14" t="str">
        <f ca="1">INDIRECT(ADDRESS(31,6))&amp;":"&amp;INDIRECT(ADDRESS(31,7))</f>
        <v>4:13</v>
      </c>
      <c r="I6" s="14" t="str">
        <f ca="1">INDIRECT(ADDRESS(34,7))&amp;":"&amp;INDIRECT(ADDRESS(34,6))</f>
        <v>4:13</v>
      </c>
      <c r="J6" s="15" t="str">
        <f ca="1">INDIRECT(ADDRESS(18,6))&amp;":"&amp;INDIRECT(ADDRESS(18,7))</f>
        <v>9:10</v>
      </c>
      <c r="K6" s="248">
        <f ca="1">IF(COUNT(F7:J7)=0,"",COUNTIF(F7:J7,"&gt;0")+0.5*COUNTIF(F7:J7,0))</f>
        <v>0</v>
      </c>
      <c r="L6" s="10"/>
      <c r="M6" s="250">
        <v>5</v>
      </c>
    </row>
    <row r="7" spans="1:13" ht="21" x14ac:dyDescent="0.3">
      <c r="B7" s="240"/>
      <c r="C7" s="244"/>
      <c r="D7" s="245"/>
      <c r="E7" s="246"/>
      <c r="F7" s="16">
        <f ca="1">IF(LEN(INDIRECT(ADDRESS(ROW()-1, COLUMN())))=1,"",INDIRECT(ADDRESS(23,7))-INDIRECT(ADDRESS(23,6)))</f>
        <v>-11</v>
      </c>
      <c r="G7" s="17" t="s">
        <v>5</v>
      </c>
      <c r="H7" s="10">
        <f ca="1">IF(LEN(INDIRECT(ADDRESS(ROW()-1, COLUMN())))=1,"",INDIRECT(ADDRESS(31,6))-INDIRECT(ADDRESS(31,7)))</f>
        <v>-9</v>
      </c>
      <c r="I7" s="10">
        <f ca="1">IF(LEN(INDIRECT(ADDRESS(ROW()-1, COLUMN())))=1,"",INDIRECT(ADDRESS(34,7))-INDIRECT(ADDRESS(34,6)))</f>
        <v>-9</v>
      </c>
      <c r="J7" s="11">
        <f ca="1">IF(LEN(INDIRECT(ADDRESS(ROW()-1, COLUMN())))=1,"",INDIRECT(ADDRESS(18,6))-INDIRECT(ADDRESS(18,7)))</f>
        <v>-1</v>
      </c>
      <c r="K7" s="248"/>
      <c r="L7" s="10">
        <f ca="1">IF(COUNT(F7:J7)=0,"",SUM(F7:J7))</f>
        <v>-30</v>
      </c>
      <c r="M7" s="250"/>
    </row>
    <row r="8" spans="1:13" ht="21" x14ac:dyDescent="0.3">
      <c r="B8" s="249">
        <v>3</v>
      </c>
      <c r="C8" s="244" t="s">
        <v>70</v>
      </c>
      <c r="D8" s="245"/>
      <c r="E8" s="246"/>
      <c r="F8" s="12" t="str">
        <f ca="1">INDIRECT(ADDRESS(26,6))&amp;":"&amp;INDIRECT(ADDRESS(26,7))</f>
        <v>13:2</v>
      </c>
      <c r="G8" s="14" t="str">
        <f ca="1">INDIRECT(ADDRESS(31,7))&amp;":"&amp;INDIRECT(ADDRESS(31,6))</f>
        <v>13:4</v>
      </c>
      <c r="H8" s="13" t="s">
        <v>5</v>
      </c>
      <c r="I8" s="14" t="str">
        <f ca="1">INDIRECT(ADDRESS(19,6))&amp;":"&amp;INDIRECT(ADDRESS(19,7))</f>
        <v>13:6</v>
      </c>
      <c r="J8" s="15" t="str">
        <f ca="1">INDIRECT(ADDRESS(22,7))&amp;":"&amp;INDIRECT(ADDRESS(22,6))</f>
        <v>13:4</v>
      </c>
      <c r="K8" s="248">
        <f ca="1">IF(COUNT(F9:J9)=0,"",COUNTIF(F9:J9,"&gt;0")+0.5*COUNTIF(F9:J9,0))</f>
        <v>4</v>
      </c>
      <c r="L8" s="10"/>
      <c r="M8" s="234">
        <v>1</v>
      </c>
    </row>
    <row r="9" spans="1:13" ht="21" x14ac:dyDescent="0.3">
      <c r="B9" s="240"/>
      <c r="C9" s="244"/>
      <c r="D9" s="245"/>
      <c r="E9" s="246"/>
      <c r="F9" s="16">
        <f ca="1">IF(LEN(INDIRECT(ADDRESS(ROW()-1, COLUMN())))=1,"",INDIRECT(ADDRESS(26,6))-INDIRECT(ADDRESS(26,7)))</f>
        <v>11</v>
      </c>
      <c r="G9" s="10">
        <f ca="1">IF(LEN(INDIRECT(ADDRESS(ROW()-1, COLUMN())))=1,"",INDIRECT(ADDRESS(31,7))-INDIRECT(ADDRESS(31,6)))</f>
        <v>9</v>
      </c>
      <c r="H9" s="17" t="s">
        <v>5</v>
      </c>
      <c r="I9" s="10">
        <f ca="1">IF(LEN(INDIRECT(ADDRESS(ROW()-1, COLUMN())))=1,"",INDIRECT(ADDRESS(19,6))-INDIRECT(ADDRESS(19,7)))</f>
        <v>7</v>
      </c>
      <c r="J9" s="11">
        <f ca="1">IF(LEN(INDIRECT(ADDRESS(ROW()-1, COLUMN())))=1,"",INDIRECT(ADDRESS(22,7))-INDIRECT(ADDRESS(22,6)))</f>
        <v>9</v>
      </c>
      <c r="K9" s="248"/>
      <c r="L9" s="10">
        <f ca="1">IF(COUNT(F9:J9)=0,"",SUM(F9:J9))</f>
        <v>36</v>
      </c>
      <c r="M9" s="234"/>
    </row>
    <row r="10" spans="1:13" ht="21" x14ac:dyDescent="0.3">
      <c r="B10" s="249">
        <v>4</v>
      </c>
      <c r="C10" s="244" t="s">
        <v>202</v>
      </c>
      <c r="D10" s="245"/>
      <c r="E10" s="246"/>
      <c r="F10" s="12" t="str">
        <f ca="1">INDIRECT(ADDRESS(30,7))&amp;":"&amp;INDIRECT(ADDRESS(30,6))</f>
        <v>7:12</v>
      </c>
      <c r="G10" s="14" t="str">
        <f ca="1">INDIRECT(ADDRESS(34,6))&amp;":"&amp;INDIRECT(ADDRESS(34,7))</f>
        <v>13:4</v>
      </c>
      <c r="H10" s="14" t="str">
        <f ca="1">INDIRECT(ADDRESS(19,7))&amp;":"&amp;INDIRECT(ADDRESS(19,6))</f>
        <v>6:13</v>
      </c>
      <c r="I10" s="13" t="s">
        <v>5</v>
      </c>
      <c r="J10" s="15" t="str">
        <f ca="1">INDIRECT(ADDRESS(27,6))&amp;":"&amp;INDIRECT(ADDRESS(27,7))</f>
        <v>13:5</v>
      </c>
      <c r="K10" s="248">
        <f ca="1">IF(COUNT(F11:J11)=0,"",COUNTIF(F11:J11,"&gt;0")+0.5*COUNTIF(F11:J11,0))</f>
        <v>2</v>
      </c>
      <c r="L10" s="10"/>
      <c r="M10" s="234">
        <v>3</v>
      </c>
    </row>
    <row r="11" spans="1:13" ht="21" x14ac:dyDescent="0.3">
      <c r="B11" s="240"/>
      <c r="C11" s="244"/>
      <c r="D11" s="245"/>
      <c r="E11" s="246"/>
      <c r="F11" s="16">
        <f ca="1">IF(LEN(INDIRECT(ADDRESS(ROW()-1, COLUMN())))=1,"",INDIRECT(ADDRESS(30,7))-INDIRECT(ADDRESS(30,6)))</f>
        <v>-5</v>
      </c>
      <c r="G11" s="10">
        <f ca="1">IF(LEN(INDIRECT(ADDRESS(ROW()-1, COLUMN())))=1,"",INDIRECT(ADDRESS(34,6))-INDIRECT(ADDRESS(34,7)))</f>
        <v>9</v>
      </c>
      <c r="H11" s="10">
        <f ca="1">IF(LEN(INDIRECT(ADDRESS(ROW()-1, COLUMN())))=1,"",INDIRECT(ADDRESS(19,7))-INDIRECT(ADDRESS(19,6)))</f>
        <v>-7</v>
      </c>
      <c r="I11" s="17" t="s">
        <v>5</v>
      </c>
      <c r="J11" s="11">
        <f ca="1">IF(LEN(INDIRECT(ADDRESS(ROW()-1, COLUMN())))=1,"",INDIRECT(ADDRESS(27,6))-INDIRECT(ADDRESS(27,7)))</f>
        <v>8</v>
      </c>
      <c r="K11" s="248"/>
      <c r="L11" s="10">
        <f ca="1">IF(COUNT(F11:J11)=0,"",SUM(F11:J11))</f>
        <v>5</v>
      </c>
      <c r="M11" s="234"/>
    </row>
    <row r="12" spans="1:13" ht="21" x14ac:dyDescent="0.3">
      <c r="B12" s="249">
        <v>5</v>
      </c>
      <c r="C12" s="244" t="s">
        <v>203</v>
      </c>
      <c r="D12" s="245"/>
      <c r="E12" s="246"/>
      <c r="F12" s="12" t="str">
        <f ca="1">INDIRECT(ADDRESS(35,6))&amp;":"&amp;INDIRECT(ADDRESS(35,7))</f>
        <v>6:12</v>
      </c>
      <c r="G12" s="14" t="str">
        <f ca="1">INDIRECT(ADDRESS(18,7))&amp;":"&amp;INDIRECT(ADDRESS(18,6))</f>
        <v>10:9</v>
      </c>
      <c r="H12" s="14" t="str">
        <f ca="1">INDIRECT(ADDRESS(22,6))&amp;":"&amp;INDIRECT(ADDRESS(22,7))</f>
        <v>4:13</v>
      </c>
      <c r="I12" s="14" t="str">
        <f ca="1">INDIRECT(ADDRESS(27,7))&amp;":"&amp;INDIRECT(ADDRESS(27,6))</f>
        <v>5:13</v>
      </c>
      <c r="J12" s="18" t="s">
        <v>5</v>
      </c>
      <c r="K12" s="248">
        <f ca="1">IF(COUNT(F13:J13)=0,"",COUNTIF(F13:J13,"&gt;0")+0.5*COUNTIF(F13:J13,0))</f>
        <v>1</v>
      </c>
      <c r="L12" s="10"/>
      <c r="M12" s="250">
        <v>4</v>
      </c>
    </row>
    <row r="13" spans="1:13" ht="21.6" thickBot="1" x14ac:dyDescent="0.35">
      <c r="B13" s="252"/>
      <c r="C13" s="253"/>
      <c r="D13" s="254"/>
      <c r="E13" s="255"/>
      <c r="F13" s="19">
        <f ca="1">IF(LEN(INDIRECT(ADDRESS(ROW()-1, COLUMN())))=1,"",INDIRECT(ADDRESS(35,6))-INDIRECT(ADDRESS(35,7)))</f>
        <v>-6</v>
      </c>
      <c r="G13" s="20">
        <f ca="1">IF(LEN(INDIRECT(ADDRESS(ROW()-1, COLUMN())))=1,"",INDIRECT(ADDRESS(18,7))-INDIRECT(ADDRESS(18,6)))</f>
        <v>1</v>
      </c>
      <c r="H13" s="20">
        <f ca="1">IF(LEN(INDIRECT(ADDRESS(ROW()-1, COLUMN())))=1,"",INDIRECT(ADDRESS(22,6))-INDIRECT(ADDRESS(22,7)))</f>
        <v>-9</v>
      </c>
      <c r="I13" s="20">
        <f ca="1">IF(LEN(INDIRECT(ADDRESS(ROW()-1, COLUMN())))=1,"",INDIRECT(ADDRESS(27,7))-INDIRECT(ADDRESS(27,6)))</f>
        <v>-8</v>
      </c>
      <c r="J13" s="21" t="s">
        <v>5</v>
      </c>
      <c r="K13" s="256"/>
      <c r="L13" s="20">
        <f ca="1">IF(COUNT(F13:J13)=0,"",SUM(F13:J13))</f>
        <v>-22</v>
      </c>
      <c r="M13" s="267"/>
    </row>
    <row r="14" spans="1:13" x14ac:dyDescent="0.3">
      <c r="M14"/>
    </row>
    <row r="15" spans="1:13" x14ac:dyDescent="0.3">
      <c r="A15" s="96"/>
      <c r="M15"/>
    </row>
    <row r="16" spans="1:13" x14ac:dyDescent="0.3">
      <c r="M16"/>
    </row>
    <row r="17" spans="2:13" ht="21.6" thickBot="1" x14ac:dyDescent="0.45">
      <c r="B17" s="251" t="s">
        <v>123</v>
      </c>
      <c r="C17" s="251"/>
      <c r="D17" s="251"/>
      <c r="E17" s="251"/>
      <c r="F17" s="251"/>
      <c r="G17" s="251"/>
      <c r="H17" s="251"/>
      <c r="I17" s="251"/>
      <c r="J17" s="251"/>
      <c r="K17" s="251"/>
      <c r="M17" s="153"/>
    </row>
    <row r="18" spans="2:13" ht="26.4" thickBot="1" x14ac:dyDescent="0.55000000000000004">
      <c r="B18" s="23">
        <v>2</v>
      </c>
      <c r="C18" s="264" t="str">
        <f ca="1">IF(ISBLANK(INDIRECT(ADDRESS(B18*2+2,3))),"",INDIRECT(ADDRESS(B18*2+2,3)))</f>
        <v>Эльтаир</v>
      </c>
      <c r="D18" s="264"/>
      <c r="E18" s="265"/>
      <c r="F18" s="27">
        <v>9</v>
      </c>
      <c r="G18" s="28">
        <v>10</v>
      </c>
      <c r="H18" s="266" t="str">
        <f ca="1">IF(ISBLANK(INDIRECT(ADDRESS(K18*2+2,3))),"",INDIRECT(ADDRESS(K18*2+2,3)))</f>
        <v>Джазз</v>
      </c>
      <c r="I18" s="264"/>
      <c r="J18" s="264"/>
      <c r="K18" s="23">
        <v>5</v>
      </c>
      <c r="L18" s="73" t="s">
        <v>8</v>
      </c>
      <c r="M18" s="155">
        <v>2</v>
      </c>
    </row>
    <row r="19" spans="2:13" ht="26.4" thickBot="1" x14ac:dyDescent="0.55000000000000004">
      <c r="B19" s="23">
        <v>3</v>
      </c>
      <c r="C19" s="264" t="str">
        <f ca="1">IF(ISBLANK(INDIRECT(ADDRESS(B19*2+2,3))),"",INDIRECT(ADDRESS(B19*2+2,3)))</f>
        <v>Авант</v>
      </c>
      <c r="D19" s="264"/>
      <c r="E19" s="265"/>
      <c r="F19" s="27">
        <v>13</v>
      </c>
      <c r="G19" s="28">
        <v>6</v>
      </c>
      <c r="H19" s="266" t="str">
        <f ca="1">IF(ISBLANK(INDIRECT(ADDRESS(K19*2+2,3))),"",INDIRECT(ADDRESS(K19*2+2,3)))</f>
        <v>Маяк</v>
      </c>
      <c r="I19" s="264"/>
      <c r="J19" s="264"/>
      <c r="K19" s="23">
        <v>4</v>
      </c>
      <c r="L19" s="73" t="s">
        <v>8</v>
      </c>
      <c r="M19" s="155">
        <v>4</v>
      </c>
    </row>
    <row r="20" spans="2:13" ht="30" customHeight="1" x14ac:dyDescent="0.45">
      <c r="M20" s="156"/>
    </row>
    <row r="21" spans="2:13" ht="24" thickBot="1" x14ac:dyDescent="0.5">
      <c r="B21" s="251" t="s">
        <v>125</v>
      </c>
      <c r="C21" s="251"/>
      <c r="D21" s="251"/>
      <c r="E21" s="251"/>
      <c r="F21" s="251"/>
      <c r="G21" s="251"/>
      <c r="H21" s="251"/>
      <c r="I21" s="251"/>
      <c r="J21" s="251"/>
      <c r="K21" s="251"/>
      <c r="M21" s="156"/>
    </row>
    <row r="22" spans="2:13" ht="26.4" thickBot="1" x14ac:dyDescent="0.55000000000000004">
      <c r="B22" s="23">
        <v>5</v>
      </c>
      <c r="C22" s="264" t="str">
        <f ca="1">IF(ISBLANK(INDIRECT(ADDRESS(B22*2+2,3))),"",INDIRECT(ADDRESS(B22*2+2,3)))</f>
        <v>Джазз</v>
      </c>
      <c r="D22" s="264"/>
      <c r="E22" s="265"/>
      <c r="F22" s="27">
        <v>4</v>
      </c>
      <c r="G22" s="28">
        <v>13</v>
      </c>
      <c r="H22" s="266" t="str">
        <f ca="1">IF(ISBLANK(INDIRECT(ADDRESS(K22*2+2,3))),"",INDIRECT(ADDRESS(K22*2+2,3)))</f>
        <v>Авант</v>
      </c>
      <c r="I22" s="264"/>
      <c r="J22" s="264"/>
      <c r="K22" s="23">
        <v>3</v>
      </c>
      <c r="L22" s="73" t="s">
        <v>8</v>
      </c>
      <c r="M22" s="155">
        <v>7</v>
      </c>
    </row>
    <row r="23" spans="2:13" ht="26.4" thickBot="1" x14ac:dyDescent="0.55000000000000004">
      <c r="B23" s="23">
        <v>1</v>
      </c>
      <c r="C23" s="264" t="str">
        <f ca="1">IF(ISBLANK(INDIRECT(ADDRESS(B23*2+2,3))),"",INDIRECT(ADDRESS(B23*2+2,3)))</f>
        <v>БИП</v>
      </c>
      <c r="D23" s="264"/>
      <c r="E23" s="265"/>
      <c r="F23" s="27">
        <v>13</v>
      </c>
      <c r="G23" s="28">
        <v>2</v>
      </c>
      <c r="H23" s="266" t="str">
        <f ca="1">IF(ISBLANK(INDIRECT(ADDRESS(K23*2+2,3))),"",INDIRECT(ADDRESS(K23*2+2,3)))</f>
        <v>Эльтаир</v>
      </c>
      <c r="I23" s="264"/>
      <c r="J23" s="264"/>
      <c r="K23" s="23">
        <v>2</v>
      </c>
      <c r="L23" s="73" t="s">
        <v>8</v>
      </c>
      <c r="M23" s="155">
        <v>8</v>
      </c>
    </row>
    <row r="24" spans="2:13" ht="30" customHeight="1" x14ac:dyDescent="0.45">
      <c r="M24" s="156"/>
    </row>
    <row r="25" spans="2:13" ht="24" thickBot="1" x14ac:dyDescent="0.5">
      <c r="B25" s="251" t="s">
        <v>10</v>
      </c>
      <c r="C25" s="251"/>
      <c r="D25" s="251"/>
      <c r="E25" s="251"/>
      <c r="F25" s="251"/>
      <c r="G25" s="251"/>
      <c r="H25" s="251"/>
      <c r="I25" s="251"/>
      <c r="J25" s="251"/>
      <c r="K25" s="251"/>
      <c r="M25" s="156"/>
    </row>
    <row r="26" spans="2:13" ht="26.4" thickBot="1" x14ac:dyDescent="0.55000000000000004">
      <c r="B26" s="23">
        <v>3</v>
      </c>
      <c r="C26" s="264" t="str">
        <f ca="1">IF(ISBLANK(INDIRECT(ADDRESS(B26*2+2,3))),"",INDIRECT(ADDRESS(B26*2+2,3)))</f>
        <v>Авант</v>
      </c>
      <c r="D26" s="264"/>
      <c r="E26" s="265"/>
      <c r="F26" s="27">
        <v>13</v>
      </c>
      <c r="G26" s="28">
        <v>2</v>
      </c>
      <c r="H26" s="266" t="str">
        <f ca="1">IF(ISBLANK(INDIRECT(ADDRESS(K26*2+2,3))),"",INDIRECT(ADDRESS(K26*2+2,3)))</f>
        <v>БИП</v>
      </c>
      <c r="I26" s="264"/>
      <c r="J26" s="264"/>
      <c r="K26" s="23">
        <v>1</v>
      </c>
      <c r="L26" s="73" t="s">
        <v>8</v>
      </c>
      <c r="M26" s="155">
        <v>1</v>
      </c>
    </row>
    <row r="27" spans="2:13" ht="26.4" thickBot="1" x14ac:dyDescent="0.55000000000000004">
      <c r="B27" s="23">
        <v>4</v>
      </c>
      <c r="C27" s="264" t="str">
        <f ca="1">IF(ISBLANK(INDIRECT(ADDRESS(B27*2+2,3))),"",INDIRECT(ADDRESS(B27*2+2,3)))</f>
        <v>Маяк</v>
      </c>
      <c r="D27" s="264"/>
      <c r="E27" s="265"/>
      <c r="F27" s="27">
        <v>13</v>
      </c>
      <c r="G27" s="28">
        <v>5</v>
      </c>
      <c r="H27" s="266" t="str">
        <f ca="1">IF(ISBLANK(INDIRECT(ADDRESS(K27*2+2,3))),"",INDIRECT(ADDRESS(K27*2+2,3)))</f>
        <v>Джазз</v>
      </c>
      <c r="I27" s="264"/>
      <c r="J27" s="264"/>
      <c r="K27" s="23">
        <v>5</v>
      </c>
      <c r="L27" s="73" t="s">
        <v>8</v>
      </c>
      <c r="M27" s="155">
        <v>2</v>
      </c>
    </row>
    <row r="28" spans="2:13" ht="30" customHeight="1" x14ac:dyDescent="0.45">
      <c r="M28" s="156"/>
    </row>
    <row r="29" spans="2:13" ht="24" thickBot="1" x14ac:dyDescent="0.5">
      <c r="B29" s="251" t="s">
        <v>11</v>
      </c>
      <c r="C29" s="251"/>
      <c r="D29" s="251"/>
      <c r="E29" s="251"/>
      <c r="F29" s="251"/>
      <c r="G29" s="251"/>
      <c r="H29" s="251"/>
      <c r="I29" s="251"/>
      <c r="J29" s="251"/>
      <c r="K29" s="251"/>
      <c r="M29" s="156"/>
    </row>
    <row r="30" spans="2:13" ht="26.4" thickBot="1" x14ac:dyDescent="0.55000000000000004">
      <c r="B30" s="23">
        <v>1</v>
      </c>
      <c r="C30" s="264" t="str">
        <f ca="1">IF(ISBLANK(INDIRECT(ADDRESS(B30*2+2,3))),"",INDIRECT(ADDRESS(B30*2+2,3)))</f>
        <v>БИП</v>
      </c>
      <c r="D30" s="264"/>
      <c r="E30" s="265"/>
      <c r="F30" s="27">
        <v>12</v>
      </c>
      <c r="G30" s="28">
        <v>7</v>
      </c>
      <c r="H30" s="266" t="str">
        <f ca="1">IF(ISBLANK(INDIRECT(ADDRESS(K30*2+2,3))),"",INDIRECT(ADDRESS(K30*2+2,3)))</f>
        <v>Маяк</v>
      </c>
      <c r="I30" s="264"/>
      <c r="J30" s="264"/>
      <c r="K30" s="23">
        <v>4</v>
      </c>
      <c r="L30" s="73" t="s">
        <v>8</v>
      </c>
      <c r="M30" s="155" t="s">
        <v>160</v>
      </c>
    </row>
    <row r="31" spans="2:13" ht="26.4" thickBot="1" x14ac:dyDescent="0.55000000000000004">
      <c r="B31" s="23">
        <v>2</v>
      </c>
      <c r="C31" s="264" t="str">
        <f ca="1">IF(ISBLANK(INDIRECT(ADDRESS(B31*2+2,3))),"",INDIRECT(ADDRESS(B31*2+2,3)))</f>
        <v>Эльтаир</v>
      </c>
      <c r="D31" s="264"/>
      <c r="E31" s="265"/>
      <c r="F31" s="27">
        <v>4</v>
      </c>
      <c r="G31" s="28">
        <v>13</v>
      </c>
      <c r="H31" s="266" t="str">
        <f ca="1">IF(ISBLANK(INDIRECT(ADDRESS(K31*2+2,3))),"",INDIRECT(ADDRESS(K31*2+2,3)))</f>
        <v>Авант</v>
      </c>
      <c r="I31" s="264"/>
      <c r="J31" s="264"/>
      <c r="K31" s="23">
        <v>3</v>
      </c>
      <c r="L31" s="73" t="s">
        <v>8</v>
      </c>
      <c r="M31" s="155" t="s">
        <v>62</v>
      </c>
    </row>
    <row r="32" spans="2:13" ht="30" customHeight="1" x14ac:dyDescent="0.45">
      <c r="M32" s="156"/>
    </row>
    <row r="33" spans="2:13" ht="24" thickBot="1" x14ac:dyDescent="0.5">
      <c r="B33" s="251" t="s">
        <v>12</v>
      </c>
      <c r="C33" s="251"/>
      <c r="D33" s="251"/>
      <c r="E33" s="251"/>
      <c r="F33" s="251"/>
      <c r="G33" s="251"/>
      <c r="H33" s="251"/>
      <c r="I33" s="251"/>
      <c r="J33" s="251"/>
      <c r="K33" s="251"/>
      <c r="M33" s="156"/>
    </row>
    <row r="34" spans="2:13" ht="26.4" thickBot="1" x14ac:dyDescent="0.55000000000000004">
      <c r="B34" s="23">
        <v>4</v>
      </c>
      <c r="C34" s="264" t="str">
        <f ca="1">IF(ISBLANK(INDIRECT(ADDRESS(B34*2+2,3))),"",INDIRECT(ADDRESS(B34*2+2,3)))</f>
        <v>Маяк</v>
      </c>
      <c r="D34" s="264"/>
      <c r="E34" s="265"/>
      <c r="F34" s="27">
        <v>13</v>
      </c>
      <c r="G34" s="28">
        <v>4</v>
      </c>
      <c r="H34" s="266" t="str">
        <f ca="1">IF(ISBLANK(INDIRECT(ADDRESS(K34*2+2,3))),"",INDIRECT(ADDRESS(K34*2+2,3)))</f>
        <v>Эльтаир</v>
      </c>
      <c r="I34" s="264"/>
      <c r="J34" s="264"/>
      <c r="K34" s="23">
        <v>2</v>
      </c>
      <c r="L34" s="73" t="s">
        <v>8</v>
      </c>
      <c r="M34" s="158" t="s">
        <v>54</v>
      </c>
    </row>
    <row r="35" spans="2:13" ht="26.4" thickBot="1" x14ac:dyDescent="0.55000000000000004">
      <c r="B35" s="23">
        <v>5</v>
      </c>
      <c r="C35" s="264" t="str">
        <f ca="1">IF(ISBLANK(INDIRECT(ADDRESS(B35*2+2,3))),"",INDIRECT(ADDRESS(B35*2+2,3)))</f>
        <v>Джазз</v>
      </c>
      <c r="D35" s="264"/>
      <c r="E35" s="265"/>
      <c r="F35" s="27">
        <v>6</v>
      </c>
      <c r="G35" s="28">
        <v>12</v>
      </c>
      <c r="H35" s="266" t="str">
        <f ca="1">IF(ISBLANK(INDIRECT(ADDRESS(K35*2+2,3))),"",INDIRECT(ADDRESS(K35*2+2,3)))</f>
        <v>БИП</v>
      </c>
      <c r="I35" s="264"/>
      <c r="J35" s="264"/>
      <c r="K35" s="23">
        <v>1</v>
      </c>
      <c r="L35" s="73" t="s">
        <v>8</v>
      </c>
      <c r="M35" s="155" t="s">
        <v>53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243E-F5A9-4A63-9EBB-519582D79C8D}">
  <dimension ref="A1:N42"/>
  <sheetViews>
    <sheetView workbookViewId="0">
      <selection activeCell="S10" sqref="S10"/>
    </sheetView>
  </sheetViews>
  <sheetFormatPr defaultRowHeight="14.4" x14ac:dyDescent="0.3"/>
  <cols>
    <col min="1" max="1" width="8.109375" style="26" customWidth="1"/>
    <col min="2" max="2" width="6" customWidth="1"/>
    <col min="3" max="4" width="10.33203125" customWidth="1"/>
    <col min="5" max="5" width="8" customWidth="1"/>
    <col min="6" max="12" width="10.33203125" customWidth="1"/>
    <col min="13" max="13" width="10.33203125" style="33" customWidth="1"/>
    <col min="14" max="14" width="8.44140625" customWidth="1"/>
    <col min="15" max="15" width="10.33203125" customWidth="1"/>
  </cols>
  <sheetData>
    <row r="1" spans="2:14" ht="46.2" x14ac:dyDescent="0.3">
      <c r="B1" s="235" t="s">
        <v>13</v>
      </c>
      <c r="C1" s="235"/>
      <c r="D1" s="235"/>
      <c r="E1" s="235"/>
      <c r="F1" s="235"/>
      <c r="G1" s="235"/>
      <c r="H1" s="235"/>
      <c r="I1" s="235"/>
      <c r="J1" s="235"/>
      <c r="K1" s="235"/>
      <c r="M1"/>
    </row>
    <row r="2" spans="2:14" ht="15" thickBot="1" x14ac:dyDescent="0.35">
      <c r="M2"/>
    </row>
    <row r="3" spans="2:14" ht="15" thickBot="1" x14ac:dyDescent="0.35">
      <c r="B3" s="1"/>
      <c r="C3" s="236" t="s">
        <v>1</v>
      </c>
      <c r="D3" s="237"/>
      <c r="E3" s="238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30" t="s">
        <v>2</v>
      </c>
      <c r="M3" s="2" t="s">
        <v>3</v>
      </c>
      <c r="N3" s="31" t="s">
        <v>4</v>
      </c>
    </row>
    <row r="4" spans="2:14" ht="21" customHeight="1" x14ac:dyDescent="0.3">
      <c r="B4" s="239">
        <v>1</v>
      </c>
      <c r="C4" s="241" t="s">
        <v>79</v>
      </c>
      <c r="D4" s="242"/>
      <c r="E4" s="243"/>
      <c r="F4" s="5" t="s">
        <v>5</v>
      </c>
      <c r="G4" s="6" t="str">
        <f ca="1">INDIRECT(ADDRESS(27,6))&amp;":"&amp;INDIRECT(ADDRESS(27,7))</f>
        <v>2:13</v>
      </c>
      <c r="H4" s="6" t="str">
        <f ca="1">INDIRECT(ADDRESS(31,7))&amp;":"&amp;INDIRECT(ADDRESS(31,6))</f>
        <v>1:13</v>
      </c>
      <c r="I4" s="6" t="str">
        <f ca="1">INDIRECT(ADDRESS(36,6))&amp;":"&amp;INDIRECT(ADDRESS(36,7))</f>
        <v>10:13</v>
      </c>
      <c r="J4" s="6" t="str">
        <f ca="1">INDIRECT(ADDRESS(42,7))&amp;":"&amp;INDIRECT(ADDRESS(42,6))</f>
        <v>13:5</v>
      </c>
      <c r="K4" s="7" t="str">
        <f ca="1">INDIRECT(ADDRESS(20,6))&amp;":"&amp;INDIRECT(ADDRESS(20,7))</f>
        <v>13:6</v>
      </c>
      <c r="L4" s="273">
        <f ca="1">IF(COUNT(F5:K5)=0,"",COUNTIF(F5:K5,"&gt;0")+0.5*COUNTIF(F5:K5,0))</f>
        <v>2</v>
      </c>
      <c r="M4" s="8"/>
      <c r="N4" s="268"/>
    </row>
    <row r="5" spans="2:14" ht="21" customHeight="1" x14ac:dyDescent="0.3">
      <c r="B5" s="240"/>
      <c r="C5" s="244"/>
      <c r="D5" s="245"/>
      <c r="E5" s="246"/>
      <c r="F5" s="9" t="s">
        <v>5</v>
      </c>
      <c r="G5" s="10">
        <f ca="1">IF(LEN(INDIRECT(ADDRESS(ROW()-1, COLUMN())))=1,"",INDIRECT(ADDRESS(27,6))-INDIRECT(ADDRESS(27,7)))</f>
        <v>-11</v>
      </c>
      <c r="H5" s="10">
        <f ca="1">IF(LEN(INDIRECT(ADDRESS(ROW()-1, COLUMN())))=1,"",INDIRECT(ADDRESS(31,7))-INDIRECT(ADDRESS(31,6)))</f>
        <v>-12</v>
      </c>
      <c r="I5" s="10">
        <f ca="1">IF(LEN(INDIRECT(ADDRESS(ROW()-1, COLUMN())))=1,"",INDIRECT(ADDRESS(36,6))-INDIRECT(ADDRESS(36,7)))</f>
        <v>-3</v>
      </c>
      <c r="J5" s="10">
        <f ca="1">IF(LEN(INDIRECT(ADDRESS(ROW()-1, COLUMN())))=1,"",INDIRECT(ADDRESS(42,7))-INDIRECT(ADDRESS(42,6)))</f>
        <v>8</v>
      </c>
      <c r="K5" s="11">
        <f ca="1">IF(LEN(INDIRECT(ADDRESS(ROW()-1, COLUMN())))=1,"",INDIRECT(ADDRESS(20,6))-INDIRECT(ADDRESS(20,7)))</f>
        <v>7</v>
      </c>
      <c r="L5" s="270"/>
      <c r="M5" s="10">
        <f ca="1">IF(COUNT(F5:K5)=0,"",SUM(F5:K5))</f>
        <v>-11</v>
      </c>
      <c r="N5" s="269"/>
    </row>
    <row r="6" spans="2:14" ht="21" customHeight="1" x14ac:dyDescent="0.3">
      <c r="B6" s="249">
        <v>2</v>
      </c>
      <c r="C6" s="244" t="s">
        <v>193</v>
      </c>
      <c r="D6" s="245"/>
      <c r="E6" s="246"/>
      <c r="F6" s="12" t="str">
        <f ca="1">INDIRECT(ADDRESS(27,7))&amp;":"&amp;INDIRECT(ADDRESS(27,6))</f>
        <v>13:2</v>
      </c>
      <c r="G6" s="13" t="s">
        <v>5</v>
      </c>
      <c r="H6" s="14" t="str">
        <f ca="1">INDIRECT(ADDRESS(37,6))&amp;":"&amp;INDIRECT(ADDRESS(37,7))</f>
        <v>2:13</v>
      </c>
      <c r="I6" s="14" t="str">
        <f ca="1">INDIRECT(ADDRESS(41,7))&amp;":"&amp;INDIRECT(ADDRESS(41,6))</f>
        <v>13:0</v>
      </c>
      <c r="J6" s="14" t="str">
        <f ca="1">INDIRECT(ADDRESS(21,6))&amp;":"&amp;INDIRECT(ADDRESS(21,7))</f>
        <v>10:11</v>
      </c>
      <c r="K6" s="15" t="str">
        <f ca="1">INDIRECT(ADDRESS(30,6))&amp;":"&amp;INDIRECT(ADDRESS(30,7))</f>
        <v>9:8</v>
      </c>
      <c r="L6" s="270">
        <f ca="1">IF(COUNT(F7:K7)=0,"",COUNTIF(F7:K7,"&gt;0")+0.5*COUNTIF(F7:K7,0))</f>
        <v>3</v>
      </c>
      <c r="M6" s="10"/>
      <c r="N6" s="271">
        <v>2</v>
      </c>
    </row>
    <row r="7" spans="2:14" ht="21" customHeight="1" x14ac:dyDescent="0.3">
      <c r="B7" s="240"/>
      <c r="C7" s="244"/>
      <c r="D7" s="245"/>
      <c r="E7" s="246"/>
      <c r="F7" s="16">
        <f ca="1">IF(LEN(INDIRECT(ADDRESS(ROW()-1, COLUMN())))=1,"",INDIRECT(ADDRESS(27,7))-INDIRECT(ADDRESS(27,6)))</f>
        <v>11</v>
      </c>
      <c r="G7" s="17" t="s">
        <v>5</v>
      </c>
      <c r="H7" s="10">
        <f ca="1">IF(LEN(INDIRECT(ADDRESS(ROW()-1, COLUMN())))=1,"",INDIRECT(ADDRESS(37,6))-INDIRECT(ADDRESS(37,7)))</f>
        <v>-11</v>
      </c>
      <c r="I7" s="10">
        <f ca="1">IF(LEN(INDIRECT(ADDRESS(ROW()-1, COLUMN())))=1,"",INDIRECT(ADDRESS(41,7))-INDIRECT(ADDRESS(41,6)))</f>
        <v>13</v>
      </c>
      <c r="J7" s="10">
        <f ca="1">IF(LEN(INDIRECT(ADDRESS(ROW()-1, COLUMN())))=1,"",INDIRECT(ADDRESS(21,6))-INDIRECT(ADDRESS(21,7)))</f>
        <v>-1</v>
      </c>
      <c r="K7" s="11">
        <f ca="1">IF(LEN(INDIRECT(ADDRESS(ROW()-1, COLUMN())))=1,"",INDIRECT(ADDRESS(30,6))-INDIRECT(ADDRESS(30,7)))</f>
        <v>1</v>
      </c>
      <c r="L7" s="270"/>
      <c r="M7" s="10">
        <f ca="1">IF(COUNT(F7:K7)=0,"",SUM(F7:K7))</f>
        <v>13</v>
      </c>
      <c r="N7" s="272"/>
    </row>
    <row r="8" spans="2:14" ht="21" customHeight="1" x14ac:dyDescent="0.3">
      <c r="B8" s="249">
        <v>3</v>
      </c>
      <c r="C8" s="244" t="s">
        <v>194</v>
      </c>
      <c r="D8" s="245"/>
      <c r="E8" s="246"/>
      <c r="F8" s="12" t="str">
        <f ca="1">INDIRECT(ADDRESS(31,6))&amp;":"&amp;INDIRECT(ADDRESS(31,7))</f>
        <v>13:1</v>
      </c>
      <c r="G8" s="14" t="str">
        <f ca="1">INDIRECT(ADDRESS(37,7))&amp;":"&amp;INDIRECT(ADDRESS(37,6))</f>
        <v>13:2</v>
      </c>
      <c r="H8" s="13" t="s">
        <v>5</v>
      </c>
      <c r="I8" s="14" t="str">
        <f ca="1">INDIRECT(ADDRESS(22,6))&amp;":"&amp;INDIRECT(ADDRESS(22,7))</f>
        <v>11:13</v>
      </c>
      <c r="J8" s="14" t="str">
        <f ca="1">INDIRECT(ADDRESS(26,7))&amp;":"&amp;INDIRECT(ADDRESS(26,6))</f>
        <v>13:0</v>
      </c>
      <c r="K8" s="15" t="str">
        <f ca="1">INDIRECT(ADDRESS(40,6))&amp;":"&amp;INDIRECT(ADDRESS(40,7))</f>
        <v>13:6</v>
      </c>
      <c r="L8" s="270">
        <f ca="1">IF(COUNT(F9:K9)=0,"",COUNTIF(F9:K9,"&gt;0")+0.5*COUNTIF(F9:K9,0))</f>
        <v>4</v>
      </c>
      <c r="M8" s="10"/>
      <c r="N8" s="271">
        <v>1</v>
      </c>
    </row>
    <row r="9" spans="2:14" ht="21" customHeight="1" x14ac:dyDescent="0.3">
      <c r="B9" s="240"/>
      <c r="C9" s="244"/>
      <c r="D9" s="245"/>
      <c r="E9" s="246"/>
      <c r="F9" s="16">
        <f ca="1">IF(LEN(INDIRECT(ADDRESS(ROW()-1, COLUMN())))=1,"",INDIRECT(ADDRESS(31,6))-INDIRECT(ADDRESS(31,7)))</f>
        <v>12</v>
      </c>
      <c r="G9" s="10">
        <f ca="1">IF(LEN(INDIRECT(ADDRESS(ROW()-1, COLUMN())))=1,"",INDIRECT(ADDRESS(37,7))-INDIRECT(ADDRESS(37,6)))</f>
        <v>11</v>
      </c>
      <c r="H9" s="17" t="s">
        <v>5</v>
      </c>
      <c r="I9" s="10">
        <f ca="1">IF(LEN(INDIRECT(ADDRESS(ROW()-1, COLUMN())))=1,"",INDIRECT(ADDRESS(22,6))-INDIRECT(ADDRESS(22,7)))</f>
        <v>-2</v>
      </c>
      <c r="J9" s="10">
        <f ca="1">IF(LEN(INDIRECT(ADDRESS(ROW()-1, COLUMN())))=1,"",INDIRECT(ADDRESS(26,7))-INDIRECT(ADDRESS(26,6)))</f>
        <v>13</v>
      </c>
      <c r="K9" s="11">
        <f ca="1">IF(LEN(INDIRECT(ADDRESS(ROW()-1, COLUMN())))=1,"",INDIRECT(ADDRESS(40,6))-INDIRECT(ADDRESS(40,7)))</f>
        <v>7</v>
      </c>
      <c r="L9" s="270"/>
      <c r="M9" s="10">
        <f ca="1">IF(COUNT(F9:K9)=0,"",SUM(F9:K9))</f>
        <v>41</v>
      </c>
      <c r="N9" s="272"/>
    </row>
    <row r="10" spans="2:14" ht="21" customHeight="1" x14ac:dyDescent="0.3">
      <c r="B10" s="249">
        <v>4</v>
      </c>
      <c r="C10" s="244" t="s">
        <v>195</v>
      </c>
      <c r="D10" s="245"/>
      <c r="E10" s="246"/>
      <c r="F10" s="12" t="str">
        <f ca="1">INDIRECT(ADDRESS(36,7))&amp;":"&amp;INDIRECT(ADDRESS(36,6))</f>
        <v>13:10</v>
      </c>
      <c r="G10" s="14" t="str">
        <f ca="1">INDIRECT(ADDRESS(41,6))&amp;":"&amp;INDIRECT(ADDRESS(41,7))</f>
        <v>0:13</v>
      </c>
      <c r="H10" s="14" t="str">
        <f ca="1">INDIRECT(ADDRESS(22,7))&amp;":"&amp;INDIRECT(ADDRESS(22,6))</f>
        <v>13:11</v>
      </c>
      <c r="I10" s="13" t="s">
        <v>5</v>
      </c>
      <c r="J10" s="14" t="str">
        <f ca="1">INDIRECT(ADDRESS(32,6))&amp;":"&amp;INDIRECT(ADDRESS(32,7))</f>
        <v>7:13</v>
      </c>
      <c r="K10" s="15" t="str">
        <f ca="1">INDIRECT(ADDRESS(25,7))&amp;":"&amp;INDIRECT(ADDRESS(25,6))</f>
        <v>12:11</v>
      </c>
      <c r="L10" s="270">
        <f ca="1">IF(COUNT(F11:K11)=0,"",COUNTIF(F11:K11,"&gt;0")+0.5*COUNTIF(F11:K11,0))</f>
        <v>3</v>
      </c>
      <c r="M10" s="10"/>
      <c r="N10" s="271">
        <v>3</v>
      </c>
    </row>
    <row r="11" spans="2:14" ht="21" customHeight="1" x14ac:dyDescent="0.3">
      <c r="B11" s="240"/>
      <c r="C11" s="244"/>
      <c r="D11" s="245"/>
      <c r="E11" s="246"/>
      <c r="F11" s="16">
        <f ca="1">IF(LEN(INDIRECT(ADDRESS(ROW()-1, COLUMN())))=1,"",INDIRECT(ADDRESS(36,7))-INDIRECT(ADDRESS(36,6)))</f>
        <v>3</v>
      </c>
      <c r="G11" s="10">
        <f ca="1">IF(LEN(INDIRECT(ADDRESS(ROW()-1, COLUMN())))=1,"",INDIRECT(ADDRESS(41,6))-INDIRECT(ADDRESS(41,7)))</f>
        <v>-13</v>
      </c>
      <c r="H11" s="10">
        <f ca="1">IF(LEN(INDIRECT(ADDRESS(ROW()-1, COLUMN())))=1,"",INDIRECT(ADDRESS(22,7))-INDIRECT(ADDRESS(22,6)))</f>
        <v>2</v>
      </c>
      <c r="I11" s="17" t="s">
        <v>5</v>
      </c>
      <c r="J11" s="10">
        <f ca="1">IF(LEN(INDIRECT(ADDRESS(ROW()-1, COLUMN())))=1,"",INDIRECT(ADDRESS(32,6))-INDIRECT(ADDRESS(32,7)))</f>
        <v>-6</v>
      </c>
      <c r="K11" s="11">
        <f ca="1">IF(LEN(INDIRECT(ADDRESS(ROW()-1, COLUMN())))=1,"",INDIRECT(ADDRESS(25,7))-INDIRECT(ADDRESS(25,6)))</f>
        <v>1</v>
      </c>
      <c r="L11" s="270"/>
      <c r="M11" s="10">
        <f ca="1">IF(COUNT(F11:K11)=0,"",SUM(F11:K11))</f>
        <v>-13</v>
      </c>
      <c r="N11" s="272"/>
    </row>
    <row r="12" spans="2:14" ht="21" customHeight="1" x14ac:dyDescent="0.3">
      <c r="B12" s="249">
        <v>5</v>
      </c>
      <c r="C12" s="244" t="s">
        <v>196</v>
      </c>
      <c r="D12" s="245"/>
      <c r="E12" s="246"/>
      <c r="F12" s="12" t="str">
        <f ca="1">INDIRECT(ADDRESS(42,6))&amp;":"&amp;INDIRECT(ADDRESS(42,7))</f>
        <v>5:13</v>
      </c>
      <c r="G12" s="14" t="str">
        <f ca="1">INDIRECT(ADDRESS(21,7))&amp;":"&amp;INDIRECT(ADDRESS(21,6))</f>
        <v>11:10</v>
      </c>
      <c r="H12" s="14" t="str">
        <f ca="1">INDIRECT(ADDRESS(26,6))&amp;":"&amp;INDIRECT(ADDRESS(26,7))</f>
        <v>0:13</v>
      </c>
      <c r="I12" s="14" t="str">
        <f ca="1">INDIRECT(ADDRESS(32,7))&amp;":"&amp;INDIRECT(ADDRESS(32,6))</f>
        <v>13:7</v>
      </c>
      <c r="J12" s="13" t="s">
        <v>5</v>
      </c>
      <c r="K12" s="15" t="str">
        <f ca="1">INDIRECT(ADDRESS(35,7))&amp;":"&amp;INDIRECT(ADDRESS(35,6))</f>
        <v>1:13</v>
      </c>
      <c r="L12" s="270">
        <f ca="1">IF(COUNT(F13:K13)=0,"",COUNTIF(F13:K13,"&gt;0")+0.5*COUNTIF(F13:K13,0))</f>
        <v>2</v>
      </c>
      <c r="M12" s="10"/>
      <c r="N12" s="274"/>
    </row>
    <row r="13" spans="2:14" ht="21" customHeight="1" thickBot="1" x14ac:dyDescent="0.35">
      <c r="B13" s="240"/>
      <c r="C13" s="253"/>
      <c r="D13" s="254"/>
      <c r="E13" s="255"/>
      <c r="F13" s="16">
        <f ca="1">IF(LEN(INDIRECT(ADDRESS(ROW()-1, COLUMN())))=1,"",INDIRECT(ADDRESS(42,6))-INDIRECT(ADDRESS(42,7)))</f>
        <v>-8</v>
      </c>
      <c r="G13" s="10">
        <f ca="1">IF(LEN(INDIRECT(ADDRESS(ROW()-1, COLUMN())))=1,"",INDIRECT(ADDRESS(21,7))-INDIRECT(ADDRESS(21,6)))</f>
        <v>1</v>
      </c>
      <c r="H13" s="10">
        <f ca="1">IF(LEN(INDIRECT(ADDRESS(ROW()-1, COLUMN())))=1,"",INDIRECT(ADDRESS(26,6))-INDIRECT(ADDRESS(26,7)))</f>
        <v>-13</v>
      </c>
      <c r="I13" s="10">
        <f ca="1">IF(LEN(INDIRECT(ADDRESS(ROW()-1, COLUMN())))=1,"",INDIRECT(ADDRESS(32,7))-INDIRECT(ADDRESS(32,6)))</f>
        <v>6</v>
      </c>
      <c r="J13" s="17" t="s">
        <v>5</v>
      </c>
      <c r="K13" s="11">
        <f ca="1">IF(LEN(INDIRECT(ADDRESS(ROW()-1, COLUMN())))=1,"",INDIRECT(ADDRESS(35,7))-INDIRECT(ADDRESS(35,6)))</f>
        <v>-12</v>
      </c>
      <c r="L13" s="270"/>
      <c r="M13" s="10">
        <f ca="1">IF(COUNT(F13:K13)=0,"",SUM(F13:K13))</f>
        <v>-26</v>
      </c>
      <c r="N13" s="269"/>
    </row>
    <row r="14" spans="2:14" ht="21" x14ac:dyDescent="0.3">
      <c r="B14" s="249">
        <v>6</v>
      </c>
      <c r="C14" s="244" t="s">
        <v>204</v>
      </c>
      <c r="D14" s="245"/>
      <c r="E14" s="246"/>
      <c r="F14" s="12" t="str">
        <f ca="1">INDIRECT(ADDRESS(20,7))&amp;":"&amp;INDIRECT(ADDRESS(20,6))</f>
        <v>6:13</v>
      </c>
      <c r="G14" s="14" t="str">
        <f ca="1">INDIRECT(ADDRESS(30,7))&amp;":"&amp;INDIRECT(ADDRESS(30,6))</f>
        <v>8:9</v>
      </c>
      <c r="H14" s="14" t="str">
        <f ca="1">INDIRECT(ADDRESS(40,7))&amp;":"&amp;INDIRECT(ADDRESS(40,6))</f>
        <v>6:13</v>
      </c>
      <c r="I14" s="14" t="str">
        <f ca="1">INDIRECT(ADDRESS(25,6))&amp;":"&amp;INDIRECT(ADDRESS(25,7))</f>
        <v>11:12</v>
      </c>
      <c r="J14" s="14" t="str">
        <f ca="1">INDIRECT(ADDRESS(35,6))&amp;":"&amp;INDIRECT(ADDRESS(35,7))</f>
        <v>13:1</v>
      </c>
      <c r="K14" s="18" t="s">
        <v>5</v>
      </c>
      <c r="L14" s="270">
        <f ca="1">IF(COUNT(F15:K15)=0,"",COUNTIF(F15:K15,"&gt;0")+0.5*COUNTIF(F15:K15,0))</f>
        <v>1</v>
      </c>
      <c r="M14" s="10"/>
      <c r="N14" s="274"/>
    </row>
    <row r="15" spans="2:14" ht="21.6" thickBot="1" x14ac:dyDescent="0.35">
      <c r="B15" s="252"/>
      <c r="C15" s="253"/>
      <c r="D15" s="254"/>
      <c r="E15" s="255"/>
      <c r="F15" s="19">
        <f ca="1">IF(LEN(INDIRECT(ADDRESS(ROW()-1, COLUMN())))=1,"",INDIRECT(ADDRESS(20,7))-INDIRECT(ADDRESS(20,6)))</f>
        <v>-7</v>
      </c>
      <c r="G15" s="20">
        <f ca="1">IF(LEN(INDIRECT(ADDRESS(ROW()-1, COLUMN())))=1,"",INDIRECT(ADDRESS(30,7))-INDIRECT(ADDRESS(30,6)))</f>
        <v>-1</v>
      </c>
      <c r="H15" s="20">
        <f ca="1">IF(LEN(INDIRECT(ADDRESS(ROW()-1, COLUMN())))=1,"",INDIRECT(ADDRESS(40,7))-INDIRECT(ADDRESS(40,6)))</f>
        <v>-7</v>
      </c>
      <c r="I15" s="20">
        <f ca="1">IF(LEN(INDIRECT(ADDRESS(ROW()-1, COLUMN())))=1,"",INDIRECT(ADDRESS(25,6))-INDIRECT(ADDRESS(25,7)))</f>
        <v>-1</v>
      </c>
      <c r="J15" s="20">
        <f ca="1">IF(LEN(INDIRECT(ADDRESS(ROW()-1, COLUMN())))=1,"",INDIRECT(ADDRESS(35,6))-INDIRECT(ADDRESS(35,7)))</f>
        <v>12</v>
      </c>
      <c r="K15" s="21" t="s">
        <v>5</v>
      </c>
      <c r="L15" s="275"/>
      <c r="M15" s="20">
        <f ca="1">IF(COUNT(F15:K15)=0,"",SUM(F15:K15))</f>
        <v>-4</v>
      </c>
      <c r="N15" s="276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251" t="s">
        <v>7</v>
      </c>
      <c r="C19" s="251"/>
      <c r="D19" s="251"/>
      <c r="E19" s="251"/>
      <c r="F19" s="251"/>
      <c r="G19" s="251"/>
      <c r="H19" s="251"/>
      <c r="I19" s="251"/>
      <c r="J19" s="251"/>
      <c r="K19" s="251"/>
      <c r="M19"/>
    </row>
    <row r="20" spans="2:13" ht="26.4" thickBot="1" x14ac:dyDescent="0.55000000000000004">
      <c r="B20" s="23">
        <v>1</v>
      </c>
      <c r="C20" s="264" t="str">
        <f ca="1">IF(ISBLANK(INDIRECT(ADDRESS(B20*2+2,3))),"",INDIRECT(ADDRESS(B20*2+2,3)))</f>
        <v>Круг</v>
      </c>
      <c r="D20" s="264"/>
      <c r="E20" s="265"/>
      <c r="F20" s="27">
        <v>13</v>
      </c>
      <c r="G20" s="28">
        <v>6</v>
      </c>
      <c r="H20" s="266" t="str">
        <f ca="1">IF(ISBLANK(INDIRECT(ADDRESS(K20*2+2,3))),"",INDIRECT(ADDRESS(K20*2+2,3)))</f>
        <v>Битлджус</v>
      </c>
      <c r="I20" s="264"/>
      <c r="J20" s="264"/>
      <c r="K20" s="23">
        <v>6</v>
      </c>
      <c r="L20" s="73" t="s">
        <v>8</v>
      </c>
      <c r="M20" s="164">
        <v>3</v>
      </c>
    </row>
    <row r="21" spans="2:13" ht="26.4" thickBot="1" x14ac:dyDescent="0.55000000000000004">
      <c r="B21" s="23">
        <v>2</v>
      </c>
      <c r="C21" s="264" t="str">
        <f ca="1">IF(ISBLANK(INDIRECT(ADDRESS(B21*2+2,3))),"",INDIRECT(ADDRESS(B21*2+2,3)))</f>
        <v>Новичок</v>
      </c>
      <c r="D21" s="264"/>
      <c r="E21" s="265"/>
      <c r="F21" s="27">
        <v>10</v>
      </c>
      <c r="G21" s="28">
        <v>11</v>
      </c>
      <c r="H21" s="266" t="str">
        <f ca="1">IF(ISBLANK(INDIRECT(ADDRESS(K21*2+2,3))),"",INDIRECT(ADDRESS(K21*2+2,3)))</f>
        <v>Монплезир</v>
      </c>
      <c r="I21" s="264"/>
      <c r="J21" s="264"/>
      <c r="K21" s="23">
        <v>5</v>
      </c>
      <c r="L21" s="73" t="s">
        <v>8</v>
      </c>
      <c r="M21" s="164">
        <v>4</v>
      </c>
    </row>
    <row r="22" spans="2:13" ht="26.4" thickBot="1" x14ac:dyDescent="0.55000000000000004">
      <c r="B22" s="23">
        <v>3</v>
      </c>
      <c r="C22" s="264" t="str">
        <f ca="1">IF(ISBLANK(INDIRECT(ADDRESS(B22*2+2,3))),"",INDIRECT(ADDRESS(B22*2+2,3)))</f>
        <v>ААА+</v>
      </c>
      <c r="D22" s="264"/>
      <c r="E22" s="265"/>
      <c r="F22" s="27">
        <v>11</v>
      </c>
      <c r="G22" s="28">
        <v>13</v>
      </c>
      <c r="H22" s="266" t="str">
        <f ca="1">IF(ISBLANK(INDIRECT(ADDRESS(K22*2+2,3))),"",INDIRECT(ADDRESS(K22*2+2,3)))</f>
        <v>Усы Надежды</v>
      </c>
      <c r="I22" s="264"/>
      <c r="J22" s="264"/>
      <c r="K22" s="23">
        <v>4</v>
      </c>
      <c r="L22" s="73" t="s">
        <v>8</v>
      </c>
      <c r="M22" s="165">
        <v>5</v>
      </c>
    </row>
    <row r="23" spans="2:13" ht="25.8" x14ac:dyDescent="0.5">
      <c r="M23" s="162"/>
    </row>
    <row r="24" spans="2:13" ht="26.4" thickBot="1" x14ac:dyDescent="0.35">
      <c r="B24" s="251" t="s">
        <v>9</v>
      </c>
      <c r="C24" s="251"/>
      <c r="D24" s="251"/>
      <c r="E24" s="251"/>
      <c r="F24" s="251"/>
      <c r="G24" s="251"/>
      <c r="H24" s="251"/>
      <c r="I24" s="251"/>
      <c r="J24" s="251"/>
      <c r="K24" s="251"/>
      <c r="M24" s="161"/>
    </row>
    <row r="25" spans="2:13" ht="26.4" thickBot="1" x14ac:dyDescent="0.55000000000000004">
      <c r="B25" s="23">
        <v>6</v>
      </c>
      <c r="C25" s="264" t="str">
        <f ca="1">IF(ISBLANK(INDIRECT(ADDRESS(B25*2+2,3))),"",INDIRECT(ADDRESS(B25*2+2,3)))</f>
        <v>Битлджус</v>
      </c>
      <c r="D25" s="264"/>
      <c r="E25" s="265"/>
      <c r="F25" s="27">
        <v>11</v>
      </c>
      <c r="G25" s="28">
        <v>12</v>
      </c>
      <c r="H25" s="266" t="str">
        <f ca="1">IF(ISBLANK(INDIRECT(ADDRESS(K25*2+2,3))),"",INDIRECT(ADDRESS(K25*2+2,3)))</f>
        <v>Усы Надежды</v>
      </c>
      <c r="I25" s="264"/>
      <c r="J25" s="264"/>
      <c r="K25" s="23">
        <v>4</v>
      </c>
      <c r="L25" s="73" t="s">
        <v>8</v>
      </c>
      <c r="M25" s="164">
        <v>7</v>
      </c>
    </row>
    <row r="26" spans="2:13" ht="26.4" thickBot="1" x14ac:dyDescent="0.55000000000000004">
      <c r="B26" s="23">
        <v>5</v>
      </c>
      <c r="C26" s="264" t="str">
        <f ca="1">IF(ISBLANK(INDIRECT(ADDRESS(B26*2+2,3))),"",INDIRECT(ADDRESS(B26*2+2,3)))</f>
        <v>Монплезир</v>
      </c>
      <c r="D26" s="264"/>
      <c r="E26" s="265"/>
      <c r="F26" s="27">
        <v>0</v>
      </c>
      <c r="G26" s="28">
        <v>13</v>
      </c>
      <c r="H26" s="266" t="str">
        <f ca="1">IF(ISBLANK(INDIRECT(ADDRESS(K26*2+2,3))),"",INDIRECT(ADDRESS(K26*2+2,3)))</f>
        <v>ААА+</v>
      </c>
      <c r="I26" s="264"/>
      <c r="J26" s="264"/>
      <c r="K26" s="23">
        <v>3</v>
      </c>
      <c r="L26" s="73" t="s">
        <v>8</v>
      </c>
      <c r="M26" s="165">
        <v>8</v>
      </c>
    </row>
    <row r="27" spans="2:13" ht="26.4" thickBot="1" x14ac:dyDescent="0.55000000000000004">
      <c r="B27" s="23">
        <v>1</v>
      </c>
      <c r="C27" s="264" t="str">
        <f ca="1">IF(ISBLANK(INDIRECT(ADDRESS(B27*2+2,3))),"",INDIRECT(ADDRESS(B27*2+2,3)))</f>
        <v>Круг</v>
      </c>
      <c r="D27" s="264"/>
      <c r="E27" s="265"/>
      <c r="F27" s="27">
        <v>2</v>
      </c>
      <c r="G27" s="28">
        <v>13</v>
      </c>
      <c r="H27" s="266" t="str">
        <f ca="1">IF(ISBLANK(INDIRECT(ADDRESS(K27*2+2,3))),"",INDIRECT(ADDRESS(K27*2+2,3)))</f>
        <v>Новичок</v>
      </c>
      <c r="I27" s="264"/>
      <c r="J27" s="264"/>
      <c r="K27" s="23">
        <v>2</v>
      </c>
      <c r="L27" s="73" t="s">
        <v>8</v>
      </c>
      <c r="M27" s="165">
        <v>9</v>
      </c>
    </row>
    <row r="28" spans="2:13" ht="25.8" x14ac:dyDescent="0.3">
      <c r="M28" s="161"/>
    </row>
    <row r="29" spans="2:13" ht="26.4" thickBot="1" x14ac:dyDescent="0.35">
      <c r="B29" s="251" t="s">
        <v>10</v>
      </c>
      <c r="C29" s="251"/>
      <c r="D29" s="251"/>
      <c r="E29" s="251"/>
      <c r="F29" s="251"/>
      <c r="G29" s="251"/>
      <c r="H29" s="251"/>
      <c r="I29" s="251"/>
      <c r="J29" s="251"/>
      <c r="K29" s="251"/>
      <c r="M29" s="161"/>
    </row>
    <row r="30" spans="2:13" ht="26.4" thickBot="1" x14ac:dyDescent="0.55000000000000004">
      <c r="B30" s="23">
        <v>2</v>
      </c>
      <c r="C30" s="264" t="str">
        <f ca="1">IF(ISBLANK(INDIRECT(ADDRESS(B30*2+2,3))),"",INDIRECT(ADDRESS(B30*2+2,3)))</f>
        <v>Новичок</v>
      </c>
      <c r="D30" s="264"/>
      <c r="E30" s="265"/>
      <c r="F30" s="27">
        <v>9</v>
      </c>
      <c r="G30" s="28">
        <v>8</v>
      </c>
      <c r="H30" s="266" t="str">
        <f ca="1">IF(ISBLANK(INDIRECT(ADDRESS(K30*2+2,3))),"",INDIRECT(ADDRESS(K30*2+2,3)))</f>
        <v>Битлджус</v>
      </c>
      <c r="I30" s="264"/>
      <c r="J30" s="264"/>
      <c r="K30" s="23">
        <v>6</v>
      </c>
      <c r="L30" s="73" t="s">
        <v>8</v>
      </c>
      <c r="M30" s="165">
        <v>1</v>
      </c>
    </row>
    <row r="31" spans="2:13" ht="26.4" thickBot="1" x14ac:dyDescent="0.55000000000000004">
      <c r="B31" s="23">
        <v>3</v>
      </c>
      <c r="C31" s="264" t="str">
        <f ca="1">IF(ISBLANK(INDIRECT(ADDRESS(B31*2+2,3))),"",INDIRECT(ADDRESS(B31*2+2,3)))</f>
        <v>ААА+</v>
      </c>
      <c r="D31" s="264"/>
      <c r="E31" s="265"/>
      <c r="F31" s="27">
        <v>13</v>
      </c>
      <c r="G31" s="28">
        <v>1</v>
      </c>
      <c r="H31" s="266" t="str">
        <f ca="1">IF(ISBLANK(INDIRECT(ADDRESS(K31*2+2,3))),"",INDIRECT(ADDRESS(K31*2+2,3)))</f>
        <v>Круг</v>
      </c>
      <c r="I31" s="264"/>
      <c r="J31" s="264"/>
      <c r="K31" s="23">
        <v>1</v>
      </c>
      <c r="L31" s="73" t="s">
        <v>8</v>
      </c>
      <c r="M31" s="165">
        <v>2</v>
      </c>
    </row>
    <row r="32" spans="2:13" ht="26.4" thickBot="1" x14ac:dyDescent="0.55000000000000004">
      <c r="B32" s="23">
        <v>4</v>
      </c>
      <c r="C32" s="264" t="str">
        <f ca="1">IF(ISBLANK(INDIRECT(ADDRESS(B32*2+2,3))),"",INDIRECT(ADDRESS(B32*2+2,3)))</f>
        <v>Усы Надежды</v>
      </c>
      <c r="D32" s="264"/>
      <c r="E32" s="265"/>
      <c r="F32" s="27">
        <v>7</v>
      </c>
      <c r="G32" s="28">
        <v>13</v>
      </c>
      <c r="H32" s="266" t="str">
        <f ca="1">IF(ISBLANK(INDIRECT(ADDRESS(K32*2+2,3))),"",INDIRECT(ADDRESS(K32*2+2,3)))</f>
        <v>Монплезир</v>
      </c>
      <c r="I32" s="264"/>
      <c r="J32" s="264"/>
      <c r="K32" s="23">
        <v>5</v>
      </c>
      <c r="L32" s="73" t="s">
        <v>8</v>
      </c>
      <c r="M32" s="164">
        <v>3</v>
      </c>
    </row>
    <row r="33" spans="1:13" ht="25.8" x14ac:dyDescent="0.3">
      <c r="M33" s="161"/>
    </row>
    <row r="34" spans="1:13" ht="26.4" thickBot="1" x14ac:dyDescent="0.55000000000000004">
      <c r="B34" s="251" t="s">
        <v>11</v>
      </c>
      <c r="C34" s="251"/>
      <c r="D34" s="251"/>
      <c r="E34" s="251"/>
      <c r="F34" s="251"/>
      <c r="G34" s="251"/>
      <c r="H34" s="251"/>
      <c r="I34" s="251"/>
      <c r="J34" s="251"/>
      <c r="K34" s="251"/>
      <c r="M34" s="162"/>
    </row>
    <row r="35" spans="1:13" ht="28.2" thickBot="1" x14ac:dyDescent="0.55000000000000004">
      <c r="A35" s="178" t="s">
        <v>226</v>
      </c>
      <c r="B35" s="56">
        <v>6</v>
      </c>
      <c r="C35" s="277" t="str">
        <f ca="1">IF(ISBLANK(INDIRECT(ADDRESS(B35*2+2,3))),"",INDIRECT(ADDRESS(B35*2+2,3)))</f>
        <v>Битлджус</v>
      </c>
      <c r="D35" s="277"/>
      <c r="E35" s="278"/>
      <c r="F35" s="57">
        <v>13</v>
      </c>
      <c r="G35" s="58">
        <v>1</v>
      </c>
      <c r="H35" s="279" t="str">
        <f ca="1">IF(ISBLANK(INDIRECT(ADDRESS(K35*2+2,3))),"",INDIRECT(ADDRESS(K35*2+2,3)))</f>
        <v>Монплезир</v>
      </c>
      <c r="I35" s="277"/>
      <c r="J35" s="277"/>
      <c r="K35" s="56">
        <v>5</v>
      </c>
      <c r="L35" s="166" t="s">
        <v>8</v>
      </c>
      <c r="M35" s="167">
        <v>5</v>
      </c>
    </row>
    <row r="36" spans="1:13" ht="28.2" thickBot="1" x14ac:dyDescent="0.55000000000000004">
      <c r="A36" s="178" t="s">
        <v>227</v>
      </c>
      <c r="B36" s="23">
        <v>1</v>
      </c>
      <c r="C36" s="264" t="str">
        <f ca="1">IF(ISBLANK(INDIRECT(ADDRESS(B36*2+2,3))),"",INDIRECT(ADDRESS(B36*2+2,3)))</f>
        <v>Круг</v>
      </c>
      <c r="D36" s="264"/>
      <c r="E36" s="265"/>
      <c r="F36" s="27">
        <v>10</v>
      </c>
      <c r="G36" s="28">
        <v>13</v>
      </c>
      <c r="H36" s="266" t="str">
        <f ca="1">IF(ISBLANK(INDIRECT(ADDRESS(K36*2+2,3))),"",INDIRECT(ADDRESS(K36*2+2,3)))</f>
        <v>Усы Надежды</v>
      </c>
      <c r="I36" s="264"/>
      <c r="J36" s="264"/>
      <c r="K36" s="23">
        <v>4</v>
      </c>
      <c r="L36" s="73" t="s">
        <v>8</v>
      </c>
      <c r="M36" s="164">
        <v>10</v>
      </c>
    </row>
    <row r="37" spans="1:13" ht="28.2" thickBot="1" x14ac:dyDescent="0.55000000000000004">
      <c r="A37" s="178" t="s">
        <v>226</v>
      </c>
      <c r="B37" s="56">
        <v>2</v>
      </c>
      <c r="C37" s="277" t="str">
        <f ca="1">IF(ISBLANK(INDIRECT(ADDRESS(B37*2+2,3))),"",INDIRECT(ADDRESS(B37*2+2,3)))</f>
        <v>Новичок</v>
      </c>
      <c r="D37" s="277"/>
      <c r="E37" s="278"/>
      <c r="F37" s="57">
        <v>2</v>
      </c>
      <c r="G37" s="58">
        <v>13</v>
      </c>
      <c r="H37" s="279" t="str">
        <f ca="1">IF(ISBLANK(INDIRECT(ADDRESS(K37*2+2,3))),"",INDIRECT(ADDRESS(K37*2+2,3)))</f>
        <v>ААА+</v>
      </c>
      <c r="I37" s="277"/>
      <c r="J37" s="277"/>
      <c r="K37" s="56">
        <v>3</v>
      </c>
      <c r="L37" s="166" t="s">
        <v>8</v>
      </c>
      <c r="M37" s="177">
        <v>6</v>
      </c>
    </row>
    <row r="38" spans="1:13" ht="25.8" x14ac:dyDescent="0.5">
      <c r="M38" s="163"/>
    </row>
    <row r="39" spans="1:13" ht="26.4" thickBot="1" x14ac:dyDescent="0.55000000000000004">
      <c r="B39" s="251" t="s">
        <v>161</v>
      </c>
      <c r="C39" s="251"/>
      <c r="D39" s="251"/>
      <c r="E39" s="251"/>
      <c r="F39" s="251"/>
      <c r="G39" s="251"/>
      <c r="H39" s="251"/>
      <c r="I39" s="251"/>
      <c r="J39" s="251"/>
      <c r="K39" s="251"/>
      <c r="M39" s="163"/>
    </row>
    <row r="40" spans="1:13" ht="26.4" thickBot="1" x14ac:dyDescent="0.55000000000000004">
      <c r="B40" s="23">
        <v>3</v>
      </c>
      <c r="C40" s="264" t="str">
        <f ca="1">IF(ISBLANK(INDIRECT(ADDRESS(B40*2+2,3))),"",INDIRECT(ADDRESS(B40*2+2,3)))</f>
        <v>ААА+</v>
      </c>
      <c r="D40" s="264"/>
      <c r="E40" s="265"/>
      <c r="F40" s="27">
        <v>13</v>
      </c>
      <c r="G40" s="28">
        <v>6</v>
      </c>
      <c r="H40" s="266" t="str">
        <f ca="1">IF(ISBLANK(INDIRECT(ADDRESS(K40*2+2,3))),"",INDIRECT(ADDRESS(K40*2+2,3)))</f>
        <v>Битлджус</v>
      </c>
      <c r="I40" s="264"/>
      <c r="J40" s="264"/>
      <c r="K40" s="23">
        <v>6</v>
      </c>
      <c r="L40" s="73" t="s">
        <v>8</v>
      </c>
      <c r="M40" s="168">
        <v>3</v>
      </c>
    </row>
    <row r="41" spans="1:13" ht="26.4" thickBot="1" x14ac:dyDescent="0.55000000000000004">
      <c r="B41" s="23">
        <v>4</v>
      </c>
      <c r="C41" s="264" t="str">
        <f ca="1">IF(ISBLANK(INDIRECT(ADDRESS(B41*2+2,3))),"",INDIRECT(ADDRESS(B41*2+2,3)))</f>
        <v>Усы Надежды</v>
      </c>
      <c r="D41" s="264"/>
      <c r="E41" s="265"/>
      <c r="F41" s="27">
        <v>0</v>
      </c>
      <c r="G41" s="28">
        <v>13</v>
      </c>
      <c r="H41" s="266" t="str">
        <f ca="1">IF(ISBLANK(INDIRECT(ADDRESS(K41*2+2,3))),"",INDIRECT(ADDRESS(K41*2+2,3)))</f>
        <v>Новичок</v>
      </c>
      <c r="I41" s="264"/>
      <c r="J41" s="264"/>
      <c r="K41" s="23">
        <v>2</v>
      </c>
      <c r="L41" s="73" t="s">
        <v>8</v>
      </c>
      <c r="M41" s="168">
        <v>4</v>
      </c>
    </row>
    <row r="42" spans="1:13" ht="26.4" thickBot="1" x14ac:dyDescent="0.55000000000000004">
      <c r="B42" s="23">
        <v>5</v>
      </c>
      <c r="C42" s="264" t="str">
        <f ca="1">IF(ISBLANK(INDIRECT(ADDRESS(B42*2+2,3))),"",INDIRECT(ADDRESS(B42*2+2,3)))</f>
        <v>Монплезир</v>
      </c>
      <c r="D42" s="264"/>
      <c r="E42" s="265"/>
      <c r="F42" s="27">
        <v>5</v>
      </c>
      <c r="G42" s="28">
        <v>13</v>
      </c>
      <c r="H42" s="266" t="str">
        <f ca="1">IF(ISBLANK(INDIRECT(ADDRESS(K42*2+2,3))),"",INDIRECT(ADDRESS(K42*2+2,3)))</f>
        <v>Круг</v>
      </c>
      <c r="I42" s="264"/>
      <c r="J42" s="264"/>
      <c r="K42" s="23">
        <v>1</v>
      </c>
      <c r="L42" s="73" t="s">
        <v>8</v>
      </c>
      <c r="M42" s="168">
        <v>7</v>
      </c>
    </row>
  </sheetData>
  <mergeCells count="61">
    <mergeCell ref="C42:E42"/>
    <mergeCell ref="H42:J42"/>
    <mergeCell ref="C32:E32"/>
    <mergeCell ref="H32:J32"/>
    <mergeCell ref="B34:K34"/>
    <mergeCell ref="C36:E36"/>
    <mergeCell ref="H36:J36"/>
    <mergeCell ref="C37:E37"/>
    <mergeCell ref="H37:J37"/>
    <mergeCell ref="C35:E35"/>
    <mergeCell ref="H35:J35"/>
    <mergeCell ref="B39:K39"/>
    <mergeCell ref="C40:E40"/>
    <mergeCell ref="H40:J40"/>
    <mergeCell ref="C41:E41"/>
    <mergeCell ref="H41:J41"/>
    <mergeCell ref="N12:N13"/>
    <mergeCell ref="B14:B15"/>
    <mergeCell ref="C14:E15"/>
    <mergeCell ref="L14:L15"/>
    <mergeCell ref="N14:N15"/>
    <mergeCell ref="B19:K19"/>
    <mergeCell ref="N4:N5"/>
    <mergeCell ref="L6:L7"/>
    <mergeCell ref="N6:N7"/>
    <mergeCell ref="L8:L9"/>
    <mergeCell ref="N8:N9"/>
    <mergeCell ref="L10:L11"/>
    <mergeCell ref="N10:N11"/>
    <mergeCell ref="L4:L5"/>
    <mergeCell ref="L12:L13"/>
    <mergeCell ref="B10:B11"/>
    <mergeCell ref="C10:E11"/>
    <mergeCell ref="B12:B13"/>
    <mergeCell ref="C12:E13"/>
    <mergeCell ref="B6:B7"/>
    <mergeCell ref="C6:E7"/>
    <mergeCell ref="C20:E20"/>
    <mergeCell ref="H20:J20"/>
    <mergeCell ref="C21:E21"/>
    <mergeCell ref="C27:E27"/>
    <mergeCell ref="H27:J27"/>
    <mergeCell ref="C22:E22"/>
    <mergeCell ref="H22:J22"/>
    <mergeCell ref="C26:E26"/>
    <mergeCell ref="H26:J26"/>
    <mergeCell ref="B24:K24"/>
    <mergeCell ref="C25:E25"/>
    <mergeCell ref="H25:J25"/>
    <mergeCell ref="H21:J21"/>
    <mergeCell ref="B29:K29"/>
    <mergeCell ref="C30:E30"/>
    <mergeCell ref="H30:J30"/>
    <mergeCell ref="C31:E31"/>
    <mergeCell ref="H31:J31"/>
    <mergeCell ref="B8:B9"/>
    <mergeCell ref="C8:E9"/>
    <mergeCell ref="B1:K1"/>
    <mergeCell ref="C3:E3"/>
    <mergeCell ref="B4:B5"/>
    <mergeCell ref="C4:E5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67C6-953B-414B-8CFD-45C3C5C47CE2}">
  <dimension ref="A1:N42"/>
  <sheetViews>
    <sheetView zoomScale="91" zoomScaleNormal="91" workbookViewId="0">
      <selection activeCell="U11" sqref="U11"/>
    </sheetView>
  </sheetViews>
  <sheetFormatPr defaultRowHeight="14.4" x14ac:dyDescent="0.3"/>
  <cols>
    <col min="1" max="1" width="9.44140625" style="26" customWidth="1"/>
    <col min="2" max="2" width="5" customWidth="1"/>
    <col min="3" max="11" width="10.33203125" customWidth="1"/>
    <col min="12" max="12" width="9.109375" customWidth="1"/>
    <col min="13" max="13" width="8.88671875" style="33" customWidth="1"/>
    <col min="14" max="14" width="8" customWidth="1"/>
    <col min="15" max="15" width="10.33203125" customWidth="1"/>
  </cols>
  <sheetData>
    <row r="1" spans="1:14" ht="46.2" x14ac:dyDescent="0.3"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M1"/>
    </row>
    <row r="2" spans="1:14" ht="15" thickBot="1" x14ac:dyDescent="0.35">
      <c r="M2"/>
    </row>
    <row r="3" spans="1:14" ht="15" thickBot="1" x14ac:dyDescent="0.35">
      <c r="B3" s="1"/>
      <c r="C3" s="236" t="s">
        <v>1</v>
      </c>
      <c r="D3" s="237"/>
      <c r="E3" s="238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30" t="s">
        <v>2</v>
      </c>
      <c r="M3" s="2" t="s">
        <v>3</v>
      </c>
      <c r="N3" s="31" t="s">
        <v>4</v>
      </c>
    </row>
    <row r="4" spans="1:14" ht="21" x14ac:dyDescent="0.3">
      <c r="B4" s="239">
        <v>1</v>
      </c>
      <c r="C4" s="241" t="s">
        <v>73</v>
      </c>
      <c r="D4" s="242"/>
      <c r="E4" s="243"/>
      <c r="F4" s="5" t="s">
        <v>5</v>
      </c>
      <c r="G4" s="6" t="str">
        <f ca="1">INDIRECT(ADDRESS(27,6))&amp;":"&amp;INDIRECT(ADDRESS(27,7))</f>
        <v>13:3</v>
      </c>
      <c r="H4" s="6" t="str">
        <f ca="1">INDIRECT(ADDRESS(31,7))&amp;":"&amp;INDIRECT(ADDRESS(31,6))</f>
        <v>11:12</v>
      </c>
      <c r="I4" s="6" t="str">
        <f ca="1">INDIRECT(ADDRESS(36,6))&amp;":"&amp;INDIRECT(ADDRESS(36,7))</f>
        <v>8:11</v>
      </c>
      <c r="J4" s="6" t="str">
        <f ca="1">INDIRECT(ADDRESS(42,7))&amp;":"&amp;INDIRECT(ADDRESS(42,6))</f>
        <v>13:6</v>
      </c>
      <c r="K4" s="7" t="str">
        <f ca="1">INDIRECT(ADDRESS(20,6))&amp;":"&amp;INDIRECT(ADDRESS(20,7))</f>
        <v>2:13</v>
      </c>
      <c r="L4" s="273">
        <f ca="1">IF(COUNT(F5:K5)=0,"",COUNTIF(F5:K5,"&gt;0")+0.5*COUNTIF(F5:K5,0))</f>
        <v>2</v>
      </c>
      <c r="M4" s="8"/>
      <c r="N4" s="268">
        <v>4</v>
      </c>
    </row>
    <row r="5" spans="1:14" ht="21" x14ac:dyDescent="0.3">
      <c r="B5" s="240"/>
      <c r="C5" s="244"/>
      <c r="D5" s="245"/>
      <c r="E5" s="246"/>
      <c r="F5" s="9" t="s">
        <v>5</v>
      </c>
      <c r="G5" s="10">
        <f ca="1">IF(LEN(INDIRECT(ADDRESS(ROW()-1, COLUMN())))=1,"",INDIRECT(ADDRESS(27,6))-INDIRECT(ADDRESS(27,7)))</f>
        <v>10</v>
      </c>
      <c r="H5" s="10">
        <f ca="1">IF(LEN(INDIRECT(ADDRESS(ROW()-1, COLUMN())))=1,"",INDIRECT(ADDRESS(31,7))-INDIRECT(ADDRESS(31,6)))</f>
        <v>-1</v>
      </c>
      <c r="I5" s="10">
        <f ca="1">IF(LEN(INDIRECT(ADDRESS(ROW()-1, COLUMN())))=1,"",INDIRECT(ADDRESS(36,6))-INDIRECT(ADDRESS(36,7)))</f>
        <v>-3</v>
      </c>
      <c r="J5" s="10">
        <f ca="1">IF(LEN(INDIRECT(ADDRESS(ROW()-1, COLUMN())))=1,"",INDIRECT(ADDRESS(42,7))-INDIRECT(ADDRESS(42,6)))</f>
        <v>7</v>
      </c>
      <c r="K5" s="11">
        <f ca="1">IF(LEN(INDIRECT(ADDRESS(ROW()-1, COLUMN())))=1,"",INDIRECT(ADDRESS(20,6))-INDIRECT(ADDRESS(20,7)))</f>
        <v>-11</v>
      </c>
      <c r="L5" s="270"/>
      <c r="M5" s="10">
        <f ca="1">IF(COUNT(F5:K5)=0,"",SUM(F5:K5))</f>
        <v>2</v>
      </c>
      <c r="N5" s="269"/>
    </row>
    <row r="6" spans="1:14" ht="21" x14ac:dyDescent="0.3">
      <c r="B6" s="249">
        <v>2</v>
      </c>
      <c r="C6" s="244">
        <v>27</v>
      </c>
      <c r="D6" s="245"/>
      <c r="E6" s="246"/>
      <c r="F6" s="12" t="str">
        <f ca="1">INDIRECT(ADDRESS(27,7))&amp;":"&amp;INDIRECT(ADDRESS(27,6))</f>
        <v>3:13</v>
      </c>
      <c r="G6" s="13" t="s">
        <v>5</v>
      </c>
      <c r="H6" s="14" t="str">
        <f ca="1">INDIRECT(ADDRESS(37,6))&amp;":"&amp;INDIRECT(ADDRESS(37,7))</f>
        <v>8:13</v>
      </c>
      <c r="I6" s="14" t="str">
        <f ca="1">INDIRECT(ADDRESS(41,7))&amp;":"&amp;INDIRECT(ADDRESS(41,6))</f>
        <v>13:6</v>
      </c>
      <c r="J6" s="14" t="str">
        <f ca="1">INDIRECT(ADDRESS(21,6))&amp;":"&amp;INDIRECT(ADDRESS(21,7))</f>
        <v>7:10</v>
      </c>
      <c r="K6" s="15" t="str">
        <f ca="1">INDIRECT(ADDRESS(30,6))&amp;":"&amp;INDIRECT(ADDRESS(30,7))</f>
        <v>2:13</v>
      </c>
      <c r="L6" s="270">
        <f ca="1">IF(COUNT(F7:K7)=0,"",COUNTIF(F7:K7,"&gt;0")+0.5*COUNTIF(F7:K7,0))</f>
        <v>1</v>
      </c>
      <c r="M6" s="10"/>
      <c r="N6" s="274">
        <v>5</v>
      </c>
    </row>
    <row r="7" spans="1:14" ht="21" x14ac:dyDescent="0.3">
      <c r="B7" s="240"/>
      <c r="C7" s="244"/>
      <c r="D7" s="245"/>
      <c r="E7" s="246"/>
      <c r="F7" s="16">
        <f ca="1">IF(LEN(INDIRECT(ADDRESS(ROW()-1, COLUMN())))=1,"",INDIRECT(ADDRESS(27,7))-INDIRECT(ADDRESS(27,6)))</f>
        <v>-10</v>
      </c>
      <c r="G7" s="17" t="s">
        <v>5</v>
      </c>
      <c r="H7" s="10">
        <f ca="1">IF(LEN(INDIRECT(ADDRESS(ROW()-1, COLUMN())))=1,"",INDIRECT(ADDRESS(37,6))-INDIRECT(ADDRESS(37,7)))</f>
        <v>-5</v>
      </c>
      <c r="I7" s="10">
        <f ca="1">IF(LEN(INDIRECT(ADDRESS(ROW()-1, COLUMN())))=1,"",INDIRECT(ADDRESS(41,7))-INDIRECT(ADDRESS(41,6)))</f>
        <v>7</v>
      </c>
      <c r="J7" s="10">
        <f ca="1">IF(LEN(INDIRECT(ADDRESS(ROW()-1, COLUMN())))=1,"",INDIRECT(ADDRESS(21,6))-INDIRECT(ADDRESS(21,7)))</f>
        <v>-3</v>
      </c>
      <c r="K7" s="11">
        <f ca="1">IF(LEN(INDIRECT(ADDRESS(ROW()-1, COLUMN())))=1,"",INDIRECT(ADDRESS(30,6))-INDIRECT(ADDRESS(30,7)))</f>
        <v>-11</v>
      </c>
      <c r="L7" s="270"/>
      <c r="M7" s="10">
        <f ca="1">IF(COUNT(F7:K7)=0,"",SUM(F7:K7))</f>
        <v>-22</v>
      </c>
      <c r="N7" s="269"/>
    </row>
    <row r="8" spans="1:14" ht="21" x14ac:dyDescent="0.3">
      <c r="B8" s="249">
        <v>3</v>
      </c>
      <c r="C8" s="244" t="s">
        <v>205</v>
      </c>
      <c r="D8" s="245"/>
      <c r="E8" s="246"/>
      <c r="F8" s="12" t="str">
        <f ca="1">INDIRECT(ADDRESS(31,6))&amp;":"&amp;INDIRECT(ADDRESS(31,7))</f>
        <v>12:11</v>
      </c>
      <c r="G8" s="14" t="str">
        <f ca="1">INDIRECT(ADDRESS(37,7))&amp;":"&amp;INDIRECT(ADDRESS(37,6))</f>
        <v>13:8</v>
      </c>
      <c r="H8" s="13" t="s">
        <v>5</v>
      </c>
      <c r="I8" s="14" t="str">
        <f ca="1">INDIRECT(ADDRESS(22,6))&amp;":"&amp;INDIRECT(ADDRESS(22,7))</f>
        <v>13:2</v>
      </c>
      <c r="J8" s="14" t="str">
        <f ca="1">INDIRECT(ADDRESS(26,7))&amp;":"&amp;INDIRECT(ADDRESS(26,6))</f>
        <v>10:11</v>
      </c>
      <c r="K8" s="15" t="str">
        <f ca="1">INDIRECT(ADDRESS(40,6))&amp;":"&amp;INDIRECT(ADDRESS(40,7))</f>
        <v>9:13</v>
      </c>
      <c r="L8" s="270">
        <f ca="1">IF(COUNT(F9:K9)=0,"",COUNTIF(F9:K9,"&gt;0")+0.5*COUNTIF(F9:K9,0))</f>
        <v>3</v>
      </c>
      <c r="M8" s="10"/>
      <c r="N8" s="271">
        <v>3</v>
      </c>
    </row>
    <row r="9" spans="1:14" ht="21" x14ac:dyDescent="0.3">
      <c r="B9" s="240"/>
      <c r="C9" s="244"/>
      <c r="D9" s="245"/>
      <c r="E9" s="246"/>
      <c r="F9" s="16">
        <f ca="1">IF(LEN(INDIRECT(ADDRESS(ROW()-1, COLUMN())))=1,"",INDIRECT(ADDRESS(31,6))-INDIRECT(ADDRESS(31,7)))</f>
        <v>1</v>
      </c>
      <c r="G9" s="10">
        <f ca="1">IF(LEN(INDIRECT(ADDRESS(ROW()-1, COLUMN())))=1,"",INDIRECT(ADDRESS(37,7))-INDIRECT(ADDRESS(37,6)))</f>
        <v>5</v>
      </c>
      <c r="H9" s="17" t="s">
        <v>5</v>
      </c>
      <c r="I9" s="10">
        <f ca="1">IF(LEN(INDIRECT(ADDRESS(ROW()-1, COLUMN())))=1,"",INDIRECT(ADDRESS(22,6))-INDIRECT(ADDRESS(22,7)))</f>
        <v>11</v>
      </c>
      <c r="J9" s="10">
        <f ca="1">IF(LEN(INDIRECT(ADDRESS(ROW()-1, COLUMN())))=1,"",INDIRECT(ADDRESS(26,7))-INDIRECT(ADDRESS(26,6)))</f>
        <v>-1</v>
      </c>
      <c r="K9" s="11">
        <f ca="1">IF(LEN(INDIRECT(ADDRESS(ROW()-1, COLUMN())))=1,"",INDIRECT(ADDRESS(40,6))-INDIRECT(ADDRESS(40,7)))</f>
        <v>-4</v>
      </c>
      <c r="L9" s="270"/>
      <c r="M9" s="10">
        <f ca="1">IF(COUNT(F9:K9)=0,"",SUM(F9:K9))</f>
        <v>12</v>
      </c>
      <c r="N9" s="272"/>
    </row>
    <row r="10" spans="1:14" ht="21" x14ac:dyDescent="0.3">
      <c r="B10" s="249">
        <v>4</v>
      </c>
      <c r="C10" s="244" t="s">
        <v>206</v>
      </c>
      <c r="D10" s="245"/>
      <c r="E10" s="246"/>
      <c r="F10" s="12" t="str">
        <f ca="1">INDIRECT(ADDRESS(36,7))&amp;":"&amp;INDIRECT(ADDRESS(36,6))</f>
        <v>11:8</v>
      </c>
      <c r="G10" s="14" t="str">
        <f ca="1">INDIRECT(ADDRESS(41,6))&amp;":"&amp;INDIRECT(ADDRESS(41,7))</f>
        <v>6:13</v>
      </c>
      <c r="H10" s="14" t="str">
        <f ca="1">INDIRECT(ADDRESS(22,7))&amp;":"&amp;INDIRECT(ADDRESS(22,6))</f>
        <v>2:13</v>
      </c>
      <c r="I10" s="13" t="s">
        <v>5</v>
      </c>
      <c r="J10" s="14" t="str">
        <f ca="1">INDIRECT(ADDRESS(32,6))&amp;":"&amp;INDIRECT(ADDRESS(32,7))</f>
        <v>4:13</v>
      </c>
      <c r="K10" s="15" t="str">
        <f ca="1">INDIRECT(ADDRESS(25,7))&amp;":"&amp;INDIRECT(ADDRESS(25,6))</f>
        <v>3:13</v>
      </c>
      <c r="L10" s="270">
        <f ca="1">IF(COUNT(F11:K11)=0,"",COUNTIF(F11:K11,"&gt;0")+0.5*COUNTIF(F11:K11,0))</f>
        <v>1</v>
      </c>
      <c r="M10" s="10"/>
      <c r="N10" s="274">
        <v>6</v>
      </c>
    </row>
    <row r="11" spans="1:14" ht="21" x14ac:dyDescent="0.3">
      <c r="B11" s="240"/>
      <c r="C11" s="244"/>
      <c r="D11" s="245"/>
      <c r="E11" s="246"/>
      <c r="F11" s="16">
        <f ca="1">IF(LEN(INDIRECT(ADDRESS(ROW()-1, COLUMN())))=1,"",INDIRECT(ADDRESS(36,7))-INDIRECT(ADDRESS(36,6)))</f>
        <v>3</v>
      </c>
      <c r="G11" s="10">
        <f ca="1">IF(LEN(INDIRECT(ADDRESS(ROW()-1, COLUMN())))=1,"",INDIRECT(ADDRESS(41,6))-INDIRECT(ADDRESS(41,7)))</f>
        <v>-7</v>
      </c>
      <c r="H11" s="10">
        <f ca="1">IF(LEN(INDIRECT(ADDRESS(ROW()-1, COLUMN())))=1,"",INDIRECT(ADDRESS(22,7))-INDIRECT(ADDRESS(22,6)))</f>
        <v>-11</v>
      </c>
      <c r="I11" s="17" t="s">
        <v>5</v>
      </c>
      <c r="J11" s="10">
        <f ca="1">IF(LEN(INDIRECT(ADDRESS(ROW()-1, COLUMN())))=1,"",INDIRECT(ADDRESS(32,6))-INDIRECT(ADDRESS(32,7)))</f>
        <v>-9</v>
      </c>
      <c r="K11" s="11">
        <f ca="1">IF(LEN(INDIRECT(ADDRESS(ROW()-1, COLUMN())))=1,"",INDIRECT(ADDRESS(25,7))-INDIRECT(ADDRESS(25,6)))</f>
        <v>-10</v>
      </c>
      <c r="L11" s="270"/>
      <c r="M11" s="10">
        <f ca="1">IF(COUNT(F11:K11)=0,"",SUM(F11:K11))</f>
        <v>-34</v>
      </c>
      <c r="N11" s="269"/>
    </row>
    <row r="12" spans="1:14" ht="21" x14ac:dyDescent="0.3">
      <c r="B12" s="249">
        <v>5</v>
      </c>
      <c r="C12" s="244" t="s">
        <v>81</v>
      </c>
      <c r="D12" s="245"/>
      <c r="E12" s="246"/>
      <c r="F12" s="12" t="str">
        <f ca="1">INDIRECT(ADDRESS(42,6))&amp;":"&amp;INDIRECT(ADDRESS(42,7))</f>
        <v>6:13</v>
      </c>
      <c r="G12" s="14" t="str">
        <f ca="1">INDIRECT(ADDRESS(21,7))&amp;":"&amp;INDIRECT(ADDRESS(21,6))</f>
        <v>10:7</v>
      </c>
      <c r="H12" s="14" t="str">
        <f ca="1">INDIRECT(ADDRESS(26,6))&amp;":"&amp;INDIRECT(ADDRESS(26,7))</f>
        <v>11:10</v>
      </c>
      <c r="I12" s="14" t="str">
        <f ca="1">INDIRECT(ADDRESS(32,7))&amp;":"&amp;INDIRECT(ADDRESS(32,6))</f>
        <v>13:4</v>
      </c>
      <c r="J12" s="13" t="s">
        <v>5</v>
      </c>
      <c r="K12" s="15" t="str">
        <f ca="1">INDIRECT(ADDRESS(35,7))&amp;":"&amp;INDIRECT(ADDRESS(35,6))</f>
        <v>13:12</v>
      </c>
      <c r="L12" s="270">
        <f ca="1">IF(COUNT(F13:K13)=0,"",COUNTIF(F13:K13,"&gt;0")+0.5*COUNTIF(F13:K13,0))</f>
        <v>4</v>
      </c>
      <c r="M12" s="10"/>
      <c r="N12" s="271">
        <v>1</v>
      </c>
    </row>
    <row r="13" spans="1:14" ht="21" x14ac:dyDescent="0.3">
      <c r="B13" s="240"/>
      <c r="C13" s="244"/>
      <c r="D13" s="245"/>
      <c r="E13" s="246"/>
      <c r="F13" s="16">
        <f ca="1">IF(LEN(INDIRECT(ADDRESS(ROW()-1, COLUMN())))=1,"",INDIRECT(ADDRESS(42,6))-INDIRECT(ADDRESS(42,7)))</f>
        <v>-7</v>
      </c>
      <c r="G13" s="10">
        <f ca="1">IF(LEN(INDIRECT(ADDRESS(ROW()-1, COLUMN())))=1,"",INDIRECT(ADDRESS(21,7))-INDIRECT(ADDRESS(21,6)))</f>
        <v>3</v>
      </c>
      <c r="H13" s="10">
        <f ca="1">IF(LEN(INDIRECT(ADDRESS(ROW()-1, COLUMN())))=1,"",INDIRECT(ADDRESS(26,6))-INDIRECT(ADDRESS(26,7)))</f>
        <v>1</v>
      </c>
      <c r="I13" s="10">
        <f ca="1">IF(LEN(INDIRECT(ADDRESS(ROW()-1, COLUMN())))=1,"",INDIRECT(ADDRESS(32,7))-INDIRECT(ADDRESS(32,6)))</f>
        <v>9</v>
      </c>
      <c r="J13" s="17" t="s">
        <v>5</v>
      </c>
      <c r="K13" s="11">
        <f ca="1">IF(LEN(INDIRECT(ADDRESS(ROW()-1, COLUMN())))=1,"",INDIRECT(ADDRESS(35,7))-INDIRECT(ADDRESS(35,6)))</f>
        <v>1</v>
      </c>
      <c r="L13" s="270"/>
      <c r="M13" s="10">
        <f ca="1">IF(COUNT(F13:K13)=0,"",SUM(F13:K13))</f>
        <v>7</v>
      </c>
      <c r="N13" s="272"/>
    </row>
    <row r="14" spans="1:14" ht="21" x14ac:dyDescent="0.3">
      <c r="B14" s="249">
        <v>6</v>
      </c>
      <c r="C14" s="244" t="s">
        <v>207</v>
      </c>
      <c r="D14" s="245"/>
      <c r="E14" s="246"/>
      <c r="F14" s="12" t="str">
        <f ca="1">INDIRECT(ADDRESS(20,7))&amp;":"&amp;INDIRECT(ADDRESS(20,6))</f>
        <v>13:2</v>
      </c>
      <c r="G14" s="14" t="str">
        <f ca="1">INDIRECT(ADDRESS(30,7))&amp;":"&amp;INDIRECT(ADDRESS(30,6))</f>
        <v>13:2</v>
      </c>
      <c r="H14" s="14" t="str">
        <f ca="1">INDIRECT(ADDRESS(40,7))&amp;":"&amp;INDIRECT(ADDRESS(40,6))</f>
        <v>13:9</v>
      </c>
      <c r="I14" s="14" t="str">
        <f ca="1">INDIRECT(ADDRESS(25,6))&amp;":"&amp;INDIRECT(ADDRESS(25,7))</f>
        <v>13:3</v>
      </c>
      <c r="J14" s="14" t="str">
        <f ca="1">INDIRECT(ADDRESS(35,6))&amp;":"&amp;INDIRECT(ADDRESS(35,7))</f>
        <v>12:13</v>
      </c>
      <c r="K14" s="18" t="s">
        <v>5</v>
      </c>
      <c r="L14" s="270">
        <f ca="1">IF(COUNT(F15:K15)=0,"",COUNTIF(F15:K15,"&gt;0")+0.5*COUNTIF(F15:K15,0))</f>
        <v>4</v>
      </c>
      <c r="M14" s="10"/>
      <c r="N14" s="271">
        <v>2</v>
      </c>
    </row>
    <row r="15" spans="1:14" ht="21.6" thickBot="1" x14ac:dyDescent="0.35">
      <c r="B15" s="252"/>
      <c r="C15" s="253"/>
      <c r="D15" s="254"/>
      <c r="E15" s="255"/>
      <c r="F15" s="19">
        <f ca="1">IF(LEN(INDIRECT(ADDRESS(ROW()-1, COLUMN())))=1,"",INDIRECT(ADDRESS(20,7))-INDIRECT(ADDRESS(20,6)))</f>
        <v>11</v>
      </c>
      <c r="G15" s="20">
        <f ca="1">IF(LEN(INDIRECT(ADDRESS(ROW()-1, COLUMN())))=1,"",INDIRECT(ADDRESS(30,7))-INDIRECT(ADDRESS(30,6)))</f>
        <v>11</v>
      </c>
      <c r="H15" s="20">
        <f ca="1">IF(LEN(INDIRECT(ADDRESS(ROW()-1, COLUMN())))=1,"",INDIRECT(ADDRESS(40,7))-INDIRECT(ADDRESS(40,6)))</f>
        <v>4</v>
      </c>
      <c r="I15" s="20">
        <f ca="1">IF(LEN(INDIRECT(ADDRESS(ROW()-1, COLUMN())))=1,"",INDIRECT(ADDRESS(25,6))-INDIRECT(ADDRESS(25,7)))</f>
        <v>10</v>
      </c>
      <c r="J15" s="20">
        <f ca="1">IF(LEN(INDIRECT(ADDRESS(ROW()-1, COLUMN())))=1,"",INDIRECT(ADDRESS(35,6))-INDIRECT(ADDRESS(35,7)))</f>
        <v>-1</v>
      </c>
      <c r="K15" s="21" t="s">
        <v>5</v>
      </c>
      <c r="L15" s="275"/>
      <c r="M15" s="20">
        <f ca="1">IF(COUNT(F15:K15)=0,"",SUM(F15:K15))</f>
        <v>35</v>
      </c>
      <c r="N15" s="280"/>
    </row>
    <row r="16" spans="1:14" ht="25.8" x14ac:dyDescent="0.3">
      <c r="A16" s="96"/>
      <c r="B16" s="173"/>
      <c r="C16" s="174"/>
      <c r="D16" s="174"/>
      <c r="E16" s="174"/>
      <c r="F16" s="175"/>
      <c r="G16" s="175"/>
      <c r="H16" s="175"/>
      <c r="I16" s="175"/>
      <c r="J16" s="175"/>
      <c r="K16" s="179"/>
      <c r="L16" s="176"/>
      <c r="M16" s="175"/>
      <c r="N16" s="176"/>
    </row>
    <row r="17" spans="1:14" ht="17.25" customHeight="1" x14ac:dyDescent="0.3">
      <c r="A17" s="96"/>
      <c r="B17" s="173"/>
      <c r="C17" s="174"/>
      <c r="D17" s="174"/>
      <c r="E17" s="174"/>
      <c r="F17" s="175"/>
      <c r="G17" s="175"/>
      <c r="H17" s="175"/>
      <c r="I17" s="175"/>
      <c r="J17" s="175"/>
      <c r="K17" s="179"/>
      <c r="L17" s="176"/>
      <c r="M17" s="175"/>
      <c r="N17" s="176"/>
    </row>
    <row r="18" spans="1:14" x14ac:dyDescent="0.3">
      <c r="M18"/>
    </row>
    <row r="19" spans="1:14" ht="21.6" thickBot="1" x14ac:dyDescent="0.35">
      <c r="B19" s="251" t="s">
        <v>7</v>
      </c>
      <c r="C19" s="251"/>
      <c r="D19" s="251"/>
      <c r="E19" s="251"/>
      <c r="F19" s="251"/>
      <c r="G19" s="251"/>
      <c r="H19" s="251"/>
      <c r="I19" s="251"/>
      <c r="J19" s="251"/>
      <c r="K19" s="251"/>
      <c r="M19"/>
    </row>
    <row r="20" spans="1:14" ht="26.4" thickBot="1" x14ac:dyDescent="0.55000000000000004">
      <c r="B20" s="23">
        <v>1</v>
      </c>
      <c r="C20" s="264" t="str">
        <f ca="1">IF(ISBLANK(INDIRECT(ADDRESS(B20*2+2,3))),"",INDIRECT(ADDRESS(B20*2+2,3)))</f>
        <v>Ниагара</v>
      </c>
      <c r="D20" s="264"/>
      <c r="E20" s="265"/>
      <c r="F20" s="27">
        <v>2</v>
      </c>
      <c r="G20" s="28">
        <v>13</v>
      </c>
      <c r="H20" s="266" t="str">
        <f ca="1">IF(ISBLANK(INDIRECT(ADDRESS(K20*2+2,3))),"",INDIRECT(ADDRESS(K20*2+2,3)))</f>
        <v>Галакси</v>
      </c>
      <c r="I20" s="264"/>
      <c r="J20" s="264"/>
      <c r="K20" s="23">
        <v>6</v>
      </c>
      <c r="L20" s="73" t="s">
        <v>8</v>
      </c>
      <c r="M20" s="171">
        <v>6</v>
      </c>
    </row>
    <row r="21" spans="1:14" ht="26.4" thickBot="1" x14ac:dyDescent="0.55000000000000004">
      <c r="B21" s="23">
        <v>2</v>
      </c>
      <c r="C21" s="264">
        <f ca="1">IF(ISBLANK(INDIRECT(ADDRESS(B21*2+2,3))),"",INDIRECT(ADDRESS(B21*2+2,3)))</f>
        <v>27</v>
      </c>
      <c r="D21" s="264"/>
      <c r="E21" s="265"/>
      <c r="F21" s="27">
        <v>7</v>
      </c>
      <c r="G21" s="28">
        <v>10</v>
      </c>
      <c r="H21" s="266" t="str">
        <f ca="1">IF(ISBLANK(INDIRECT(ADDRESS(K21*2+2,3))),"",INDIRECT(ADDRESS(K21*2+2,3)))</f>
        <v>Торонто</v>
      </c>
      <c r="I21" s="264"/>
      <c r="J21" s="264"/>
      <c r="K21" s="23">
        <v>5</v>
      </c>
      <c r="L21" s="73" t="s">
        <v>8</v>
      </c>
      <c r="M21" s="171">
        <v>7</v>
      </c>
    </row>
    <row r="22" spans="1:14" ht="26.4" thickBot="1" x14ac:dyDescent="0.55000000000000004">
      <c r="B22" s="23">
        <v>3</v>
      </c>
      <c r="C22" s="264" t="str">
        <f ca="1">IF(ISBLANK(INDIRECT(ADDRESS(B22*2+2,3))),"",INDIRECT(ADDRESS(B22*2+2,3)))</f>
        <v>Консультант+</v>
      </c>
      <c r="D22" s="264"/>
      <c r="E22" s="265"/>
      <c r="F22" s="27">
        <v>13</v>
      </c>
      <c r="G22" s="28">
        <v>2</v>
      </c>
      <c r="H22" s="266" t="str">
        <f ca="1">IF(ISBLANK(INDIRECT(ADDRESS(K22*2+2,3))),"",INDIRECT(ADDRESS(K22*2+2,3)))</f>
        <v>Крабы</v>
      </c>
      <c r="I22" s="264"/>
      <c r="J22" s="264"/>
      <c r="K22" s="23">
        <v>4</v>
      </c>
      <c r="L22" s="73" t="s">
        <v>8</v>
      </c>
      <c r="M22" s="171">
        <v>8</v>
      </c>
    </row>
    <row r="23" spans="1:14" ht="30" customHeight="1" x14ac:dyDescent="0.5">
      <c r="M23" s="169"/>
    </row>
    <row r="24" spans="1:14" ht="26.4" thickBot="1" x14ac:dyDescent="0.55000000000000004">
      <c r="B24" s="251" t="s">
        <v>9</v>
      </c>
      <c r="C24" s="251"/>
      <c r="D24" s="251"/>
      <c r="E24" s="251"/>
      <c r="F24" s="251"/>
      <c r="G24" s="251"/>
      <c r="H24" s="251"/>
      <c r="I24" s="251"/>
      <c r="J24" s="251"/>
      <c r="K24" s="251"/>
      <c r="M24" s="169"/>
    </row>
    <row r="25" spans="1:14" ht="26.4" thickBot="1" x14ac:dyDescent="0.55000000000000004">
      <c r="B25" s="23">
        <v>6</v>
      </c>
      <c r="C25" s="264" t="str">
        <f ca="1">IF(ISBLANK(INDIRECT(ADDRESS(B25*2+2,3))),"",INDIRECT(ADDRESS(B25*2+2,3)))</f>
        <v>Галакси</v>
      </c>
      <c r="D25" s="264"/>
      <c r="E25" s="265"/>
      <c r="F25" s="27">
        <v>13</v>
      </c>
      <c r="G25" s="28">
        <v>3</v>
      </c>
      <c r="H25" s="266" t="str">
        <f ca="1">IF(ISBLANK(INDIRECT(ADDRESS(K25*2+2,3))),"",INDIRECT(ADDRESS(K25*2+2,3)))</f>
        <v>Крабы</v>
      </c>
      <c r="I25" s="264"/>
      <c r="J25" s="264"/>
      <c r="K25" s="23">
        <v>4</v>
      </c>
      <c r="L25" s="73" t="s">
        <v>8</v>
      </c>
      <c r="M25" s="171">
        <v>10</v>
      </c>
    </row>
    <row r="26" spans="1:14" ht="26.4" thickBot="1" x14ac:dyDescent="0.55000000000000004">
      <c r="B26" s="23">
        <v>5</v>
      </c>
      <c r="C26" s="264" t="str">
        <f ca="1">IF(ISBLANK(INDIRECT(ADDRESS(B26*2+2,3))),"",INDIRECT(ADDRESS(B26*2+2,3)))</f>
        <v>Торонто</v>
      </c>
      <c r="D26" s="264"/>
      <c r="E26" s="265"/>
      <c r="F26" s="27">
        <v>11</v>
      </c>
      <c r="G26" s="28">
        <v>10</v>
      </c>
      <c r="H26" s="266" t="str">
        <f ca="1">IF(ISBLANK(INDIRECT(ADDRESS(K26*2+2,3))),"",INDIRECT(ADDRESS(K26*2+2,3)))</f>
        <v>Консультант+</v>
      </c>
      <c r="I26" s="264"/>
      <c r="J26" s="264"/>
      <c r="K26" s="23">
        <v>3</v>
      </c>
      <c r="L26" s="73" t="s">
        <v>8</v>
      </c>
      <c r="M26" s="171">
        <v>1</v>
      </c>
    </row>
    <row r="27" spans="1:14" ht="26.4" thickBot="1" x14ac:dyDescent="0.55000000000000004">
      <c r="B27" s="23">
        <v>1</v>
      </c>
      <c r="C27" s="264" t="str">
        <f ca="1">IF(ISBLANK(INDIRECT(ADDRESS(B27*2+2,3))),"",INDIRECT(ADDRESS(B27*2+2,3)))</f>
        <v>Ниагара</v>
      </c>
      <c r="D27" s="264"/>
      <c r="E27" s="265"/>
      <c r="F27" s="27">
        <v>13</v>
      </c>
      <c r="G27" s="28">
        <v>3</v>
      </c>
      <c r="H27" s="266">
        <f ca="1">IF(ISBLANK(INDIRECT(ADDRESS(K27*2+2,3))),"",INDIRECT(ADDRESS(K27*2+2,3)))</f>
        <v>27</v>
      </c>
      <c r="I27" s="264"/>
      <c r="J27" s="264"/>
      <c r="K27" s="23">
        <v>2</v>
      </c>
      <c r="L27" s="73" t="s">
        <v>8</v>
      </c>
      <c r="M27" s="171">
        <v>2</v>
      </c>
    </row>
    <row r="28" spans="1:14" ht="24" customHeight="1" x14ac:dyDescent="0.5">
      <c r="M28" s="169"/>
    </row>
    <row r="29" spans="1:14" ht="26.4" thickBot="1" x14ac:dyDescent="0.55000000000000004">
      <c r="B29" s="251" t="s">
        <v>10</v>
      </c>
      <c r="C29" s="251"/>
      <c r="D29" s="251"/>
      <c r="E29" s="251"/>
      <c r="F29" s="251"/>
      <c r="G29" s="251"/>
      <c r="H29" s="251"/>
      <c r="I29" s="251"/>
      <c r="J29" s="251"/>
      <c r="K29" s="251"/>
      <c r="M29" s="169"/>
    </row>
    <row r="30" spans="1:14" ht="26.4" thickBot="1" x14ac:dyDescent="0.55000000000000004">
      <c r="B30" s="23">
        <v>2</v>
      </c>
      <c r="C30" s="264">
        <f ca="1">IF(ISBLANK(INDIRECT(ADDRESS(B30*2+2,3))),"",INDIRECT(ADDRESS(B30*2+2,3)))</f>
        <v>27</v>
      </c>
      <c r="D30" s="264"/>
      <c r="E30" s="265"/>
      <c r="F30" s="27">
        <v>2</v>
      </c>
      <c r="G30" s="28">
        <v>13</v>
      </c>
      <c r="H30" s="266" t="str">
        <f ca="1">IF(ISBLANK(INDIRECT(ADDRESS(K30*2+2,3))),"",INDIRECT(ADDRESS(K30*2+2,3)))</f>
        <v>Галакси</v>
      </c>
      <c r="I30" s="264"/>
      <c r="J30" s="264"/>
      <c r="K30" s="23">
        <v>6</v>
      </c>
      <c r="L30" s="73" t="s">
        <v>8</v>
      </c>
      <c r="M30" s="171">
        <v>4</v>
      </c>
    </row>
    <row r="31" spans="1:14" ht="26.4" thickBot="1" x14ac:dyDescent="0.55000000000000004">
      <c r="B31" s="23">
        <v>3</v>
      </c>
      <c r="C31" s="264" t="str">
        <f ca="1">IF(ISBLANK(INDIRECT(ADDRESS(B31*2+2,3))),"",INDIRECT(ADDRESS(B31*2+2,3)))</f>
        <v>Консультант+</v>
      </c>
      <c r="D31" s="264"/>
      <c r="E31" s="265"/>
      <c r="F31" s="27">
        <v>12</v>
      </c>
      <c r="G31" s="28">
        <v>11</v>
      </c>
      <c r="H31" s="266" t="str">
        <f ca="1">IF(ISBLANK(INDIRECT(ADDRESS(K31*2+2,3))),"",INDIRECT(ADDRESS(K31*2+2,3)))</f>
        <v>Ниагара</v>
      </c>
      <c r="I31" s="264"/>
      <c r="J31" s="264"/>
      <c r="K31" s="23">
        <v>1</v>
      </c>
      <c r="L31" s="73" t="s">
        <v>8</v>
      </c>
      <c r="M31" s="171">
        <v>7</v>
      </c>
    </row>
    <row r="32" spans="1:14" ht="26.4" thickBot="1" x14ac:dyDescent="0.55000000000000004">
      <c r="B32" s="23">
        <v>4</v>
      </c>
      <c r="C32" s="264" t="str">
        <f ca="1">IF(ISBLANK(INDIRECT(ADDRESS(B32*2+2,3))),"",INDIRECT(ADDRESS(B32*2+2,3)))</f>
        <v>Крабы</v>
      </c>
      <c r="D32" s="264"/>
      <c r="E32" s="265"/>
      <c r="F32" s="27">
        <v>4</v>
      </c>
      <c r="G32" s="28">
        <v>13</v>
      </c>
      <c r="H32" s="266" t="str">
        <f ca="1">IF(ISBLANK(INDIRECT(ADDRESS(K32*2+2,3))),"",INDIRECT(ADDRESS(K32*2+2,3)))</f>
        <v>Торонто</v>
      </c>
      <c r="I32" s="264"/>
      <c r="J32" s="264"/>
      <c r="K32" s="23">
        <v>5</v>
      </c>
      <c r="L32" s="73" t="s">
        <v>8</v>
      </c>
      <c r="M32" s="171">
        <v>8</v>
      </c>
    </row>
    <row r="33" spans="1:13" ht="18.75" customHeight="1" x14ac:dyDescent="0.5">
      <c r="M33" s="169"/>
    </row>
    <row r="34" spans="1:13" ht="26.4" thickBot="1" x14ac:dyDescent="0.55000000000000004">
      <c r="B34" s="251" t="s">
        <v>11</v>
      </c>
      <c r="C34" s="251"/>
      <c r="D34" s="251"/>
      <c r="E34" s="251"/>
      <c r="F34" s="251"/>
      <c r="G34" s="251"/>
      <c r="H34" s="251"/>
      <c r="I34" s="251"/>
      <c r="J34" s="251"/>
      <c r="K34" s="251"/>
      <c r="M34" s="169"/>
    </row>
    <row r="35" spans="1:13" ht="28.2" thickBot="1" x14ac:dyDescent="0.55000000000000004">
      <c r="A35" s="178" t="s">
        <v>226</v>
      </c>
      <c r="B35" s="23">
        <v>6</v>
      </c>
      <c r="C35" s="277" t="str">
        <f ca="1">IF(ISBLANK(INDIRECT(ADDRESS(B35*2+2,3))),"",INDIRECT(ADDRESS(B35*2+2,3)))</f>
        <v>Галакси</v>
      </c>
      <c r="D35" s="277"/>
      <c r="E35" s="278"/>
      <c r="F35" s="57">
        <v>12</v>
      </c>
      <c r="G35" s="58">
        <v>13</v>
      </c>
      <c r="H35" s="279" t="str">
        <f ca="1">IF(ISBLANK(INDIRECT(ADDRESS(K35*2+2,3))),"",INDIRECT(ADDRESS(K35*2+2,3)))</f>
        <v>Торонто</v>
      </c>
      <c r="I35" s="277"/>
      <c r="J35" s="277"/>
      <c r="K35" s="56">
        <v>5</v>
      </c>
      <c r="L35" s="166" t="s">
        <v>8</v>
      </c>
      <c r="M35" s="172">
        <v>1</v>
      </c>
    </row>
    <row r="36" spans="1:13" ht="28.2" thickBot="1" x14ac:dyDescent="0.55000000000000004">
      <c r="A36" s="178" t="s">
        <v>227</v>
      </c>
      <c r="B36" s="23">
        <v>1</v>
      </c>
      <c r="C36" s="264" t="str">
        <f ca="1">IF(ISBLANK(INDIRECT(ADDRESS(B36*2+2,3))),"",INDIRECT(ADDRESS(B36*2+2,3)))</f>
        <v>Ниагара</v>
      </c>
      <c r="D36" s="264"/>
      <c r="E36" s="265"/>
      <c r="F36" s="27">
        <v>8</v>
      </c>
      <c r="G36" s="28">
        <v>11</v>
      </c>
      <c r="H36" s="266" t="str">
        <f ca="1">IF(ISBLANK(INDIRECT(ADDRESS(K36*2+2,3))),"",INDIRECT(ADDRESS(K36*2+2,3)))</f>
        <v>Крабы</v>
      </c>
      <c r="I36" s="264"/>
      <c r="J36" s="264"/>
      <c r="K36" s="23">
        <v>4</v>
      </c>
      <c r="L36" s="73" t="s">
        <v>8</v>
      </c>
      <c r="M36" s="171">
        <v>3</v>
      </c>
    </row>
    <row r="37" spans="1:13" ht="28.2" thickBot="1" x14ac:dyDescent="0.55000000000000004">
      <c r="A37" s="178" t="s">
        <v>226</v>
      </c>
      <c r="B37" s="23">
        <v>2</v>
      </c>
      <c r="C37" s="277">
        <f ca="1">IF(ISBLANK(INDIRECT(ADDRESS(B37*2+2,3))),"",INDIRECT(ADDRESS(B37*2+2,3)))</f>
        <v>27</v>
      </c>
      <c r="D37" s="277"/>
      <c r="E37" s="278"/>
      <c r="F37" s="57">
        <v>8</v>
      </c>
      <c r="G37" s="58">
        <v>13</v>
      </c>
      <c r="H37" s="279" t="str">
        <f ca="1">IF(ISBLANK(INDIRECT(ADDRESS(K37*2+2,3))),"",INDIRECT(ADDRESS(K37*2+2,3)))</f>
        <v>Консультант+</v>
      </c>
      <c r="I37" s="277"/>
      <c r="J37" s="277"/>
      <c r="K37" s="56">
        <v>3</v>
      </c>
      <c r="L37" s="166" t="s">
        <v>8</v>
      </c>
      <c r="M37" s="172">
        <v>2</v>
      </c>
    </row>
    <row r="38" spans="1:13" ht="18" customHeight="1" x14ac:dyDescent="0.5">
      <c r="M38" s="170"/>
    </row>
    <row r="39" spans="1:13" ht="21.6" thickBot="1" x14ac:dyDescent="0.35">
      <c r="B39" s="251" t="s">
        <v>161</v>
      </c>
      <c r="C39" s="251"/>
      <c r="D39" s="251"/>
      <c r="E39" s="251"/>
      <c r="F39" s="251"/>
      <c r="G39" s="251"/>
      <c r="H39" s="251"/>
      <c r="I39" s="251"/>
      <c r="J39" s="251"/>
      <c r="K39" s="251"/>
    </row>
    <row r="40" spans="1:13" ht="26.4" thickBot="1" x14ac:dyDescent="0.55000000000000004">
      <c r="B40" s="23">
        <v>3</v>
      </c>
      <c r="C40" s="264" t="str">
        <f ca="1">IF(ISBLANK(INDIRECT(ADDRESS(B40*2+2,3))),"",INDIRECT(ADDRESS(B40*2+2,3)))</f>
        <v>Консультант+</v>
      </c>
      <c r="D40" s="264"/>
      <c r="E40" s="265"/>
      <c r="F40" s="27">
        <v>9</v>
      </c>
      <c r="G40" s="28">
        <v>13</v>
      </c>
      <c r="H40" s="266" t="str">
        <f ca="1">IF(ISBLANK(INDIRECT(ADDRESS(K40*2+2,3))),"",INDIRECT(ADDRESS(K40*2+2,3)))</f>
        <v>Галакси</v>
      </c>
      <c r="I40" s="264"/>
      <c r="J40" s="264"/>
      <c r="K40" s="23">
        <v>6</v>
      </c>
      <c r="L40" s="29" t="s">
        <v>8</v>
      </c>
      <c r="M40" s="52">
        <v>5</v>
      </c>
    </row>
    <row r="41" spans="1:13" ht="26.4" thickBot="1" x14ac:dyDescent="0.55000000000000004">
      <c r="B41" s="23">
        <v>4</v>
      </c>
      <c r="C41" s="264" t="str">
        <f ca="1">IF(ISBLANK(INDIRECT(ADDRESS(B41*2+2,3))),"",INDIRECT(ADDRESS(B41*2+2,3)))</f>
        <v>Крабы</v>
      </c>
      <c r="D41" s="264"/>
      <c r="E41" s="265"/>
      <c r="F41" s="27">
        <v>6</v>
      </c>
      <c r="G41" s="28">
        <v>13</v>
      </c>
      <c r="H41" s="266">
        <f ca="1">IF(ISBLANK(INDIRECT(ADDRESS(K41*2+2,3))),"",INDIRECT(ADDRESS(K41*2+2,3)))</f>
        <v>27</v>
      </c>
      <c r="I41" s="264"/>
      <c r="J41" s="264"/>
      <c r="K41" s="23">
        <v>2</v>
      </c>
      <c r="L41" s="29" t="s">
        <v>8</v>
      </c>
      <c r="M41" s="52">
        <v>6</v>
      </c>
    </row>
    <row r="42" spans="1:13" ht="26.4" thickBot="1" x14ac:dyDescent="0.55000000000000004">
      <c r="B42" s="23">
        <v>5</v>
      </c>
      <c r="C42" s="264" t="str">
        <f ca="1">IF(ISBLANK(INDIRECT(ADDRESS(B42*2+2,3))),"",INDIRECT(ADDRESS(B42*2+2,3)))</f>
        <v>Торонто</v>
      </c>
      <c r="D42" s="264"/>
      <c r="E42" s="265"/>
      <c r="F42" s="27">
        <v>6</v>
      </c>
      <c r="G42" s="28">
        <v>13</v>
      </c>
      <c r="H42" s="266" t="str">
        <f ca="1">IF(ISBLANK(INDIRECT(ADDRESS(K42*2+2,3))),"",INDIRECT(ADDRESS(K42*2+2,3)))</f>
        <v>Ниагара</v>
      </c>
      <c r="I42" s="264"/>
      <c r="J42" s="264"/>
      <c r="K42" s="23">
        <v>1</v>
      </c>
      <c r="L42" s="29" t="s">
        <v>8</v>
      </c>
      <c r="M42" s="52">
        <v>8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754C-28F8-4D7E-9151-DD25EC64BE6D}">
  <dimension ref="A1:V86"/>
  <sheetViews>
    <sheetView tabSelected="1" topLeftCell="A14" zoomScale="107" zoomScaleNormal="107" workbookViewId="0">
      <selection activeCell="N70" sqref="N70"/>
    </sheetView>
  </sheetViews>
  <sheetFormatPr defaultColWidth="9.109375" defaultRowHeight="14.4" x14ac:dyDescent="0.3"/>
  <cols>
    <col min="1" max="1" width="9.109375" style="26"/>
    <col min="2" max="13" width="9.109375" style="32"/>
    <col min="14" max="14" width="17.5546875" style="32" customWidth="1"/>
    <col min="15" max="15" width="9.109375" style="32"/>
    <col min="16" max="16" width="13.33203125" style="32" customWidth="1"/>
    <col min="17" max="17" width="9.109375" style="32"/>
    <col min="18" max="18" width="18" style="32" bestFit="1" customWidth="1"/>
    <col min="19" max="19" width="4" style="32" bestFit="1" customWidth="1"/>
    <col min="20" max="20" width="18" style="32" bestFit="1" customWidth="1"/>
    <col min="21" max="21" width="9.109375" style="32"/>
    <col min="22" max="22" width="18" style="32" bestFit="1" customWidth="1"/>
    <col min="23" max="16384" width="9.109375" style="32"/>
  </cols>
  <sheetData>
    <row r="1" spans="1:22" ht="59.25" customHeight="1" x14ac:dyDescent="0.3">
      <c r="B1" s="283" t="s">
        <v>229</v>
      </c>
      <c r="C1" s="283"/>
      <c r="D1" s="283"/>
      <c r="E1" s="283"/>
      <c r="F1" s="283"/>
      <c r="G1" s="283"/>
      <c r="H1" s="283"/>
      <c r="I1" s="283"/>
      <c r="J1" s="283"/>
      <c r="K1" s="283"/>
      <c r="N1" s="32" t="s">
        <v>32</v>
      </c>
      <c r="P1" s="32" t="s">
        <v>32</v>
      </c>
      <c r="R1" s="32" t="s">
        <v>32</v>
      </c>
      <c r="T1" s="32" t="s">
        <v>32</v>
      </c>
      <c r="V1" s="32" t="s">
        <v>32</v>
      </c>
    </row>
    <row r="2" spans="1:22" x14ac:dyDescent="0.3">
      <c r="C2" s="32" t="s">
        <v>46</v>
      </c>
      <c r="M2" s="43" t="s">
        <v>15</v>
      </c>
      <c r="N2" s="47" t="s">
        <v>162</v>
      </c>
      <c r="O2" s="45" t="s">
        <v>18</v>
      </c>
      <c r="P2" s="47" t="s">
        <v>68</v>
      </c>
      <c r="Q2" s="44" t="s">
        <v>21</v>
      </c>
      <c r="R2" s="48" t="s">
        <v>70</v>
      </c>
      <c r="S2" s="46" t="s">
        <v>24</v>
      </c>
      <c r="T2" s="48" t="s">
        <v>194</v>
      </c>
      <c r="U2" s="44" t="s">
        <v>27</v>
      </c>
      <c r="V2" s="48" t="s">
        <v>81</v>
      </c>
    </row>
    <row r="3" spans="1:22" x14ac:dyDescent="0.3">
      <c r="M3" s="44" t="s">
        <v>16</v>
      </c>
      <c r="N3" s="47" t="s">
        <v>192</v>
      </c>
      <c r="O3" s="46" t="s">
        <v>19</v>
      </c>
      <c r="P3" s="47" t="s">
        <v>78</v>
      </c>
      <c r="Q3" s="44" t="s">
        <v>22</v>
      </c>
      <c r="R3" s="48" t="s">
        <v>200</v>
      </c>
      <c r="S3" s="46" t="s">
        <v>25</v>
      </c>
      <c r="T3" s="48" t="s">
        <v>193</v>
      </c>
      <c r="U3" s="43" t="s">
        <v>29</v>
      </c>
      <c r="V3" s="48" t="s">
        <v>207</v>
      </c>
    </row>
    <row r="4" spans="1:22" ht="15" customHeight="1" x14ac:dyDescent="0.3">
      <c r="B4" s="281" t="str">
        <f>N2</f>
        <v>Бадди</v>
      </c>
      <c r="C4" s="282"/>
      <c r="D4" s="35">
        <v>13</v>
      </c>
      <c r="E4" s="36"/>
      <c r="G4" s="32" t="s">
        <v>46</v>
      </c>
      <c r="M4" s="44" t="s">
        <v>17</v>
      </c>
      <c r="N4" s="47" t="s">
        <v>83</v>
      </c>
      <c r="O4" s="45" t="s">
        <v>20</v>
      </c>
      <c r="P4" s="47" t="s">
        <v>199</v>
      </c>
      <c r="Q4" s="43" t="s">
        <v>23</v>
      </c>
      <c r="R4" s="48" t="s">
        <v>202</v>
      </c>
      <c r="S4" s="45" t="s">
        <v>26</v>
      </c>
      <c r="T4" s="48" t="s">
        <v>195</v>
      </c>
      <c r="U4" s="44" t="s">
        <v>28</v>
      </c>
      <c r="V4" s="48" t="s">
        <v>205</v>
      </c>
    </row>
    <row r="5" spans="1:22" ht="15" customHeight="1" x14ac:dyDescent="0.3">
      <c r="E5" s="37"/>
      <c r="M5" s="44"/>
      <c r="N5" s="44"/>
      <c r="O5" s="46"/>
      <c r="P5" s="46"/>
      <c r="Q5" s="44"/>
      <c r="R5" s="44"/>
      <c r="S5" s="46"/>
      <c r="T5" s="46"/>
      <c r="U5" s="44"/>
      <c r="V5" s="44"/>
    </row>
    <row r="6" spans="1:22" ht="15" customHeight="1" x14ac:dyDescent="0.3">
      <c r="A6" s="26" t="s">
        <v>34</v>
      </c>
      <c r="B6" s="29" t="s">
        <v>8</v>
      </c>
      <c r="C6" s="34">
        <v>1</v>
      </c>
      <c r="E6" s="38"/>
      <c r="F6" s="284" t="str">
        <f>IF(ISBLANK(D4),"",IF(D4&gt;D8,B4,B8))</f>
        <v>Бадди</v>
      </c>
      <c r="G6" s="282"/>
      <c r="H6" s="35">
        <v>13</v>
      </c>
      <c r="I6" s="36"/>
    </row>
    <row r="7" spans="1:22" ht="15" customHeight="1" x14ac:dyDescent="0.3">
      <c r="E7" s="38"/>
      <c r="I7" s="37"/>
      <c r="O7" s="44" t="s">
        <v>30</v>
      </c>
      <c r="P7" s="44" t="s">
        <v>191</v>
      </c>
      <c r="Q7" s="32" t="s">
        <v>231</v>
      </c>
    </row>
    <row r="8" spans="1:22" ht="15" customHeight="1" x14ac:dyDescent="0.3">
      <c r="B8" s="285" t="str">
        <f>P4</f>
        <v>Титаны +</v>
      </c>
      <c r="C8" s="282"/>
      <c r="D8" s="35">
        <v>6</v>
      </c>
      <c r="E8" s="39"/>
      <c r="I8" s="38"/>
      <c r="K8" s="32" t="s">
        <v>47</v>
      </c>
    </row>
    <row r="9" spans="1:22" ht="15" customHeight="1" x14ac:dyDescent="0.3">
      <c r="I9" s="38"/>
    </row>
    <row r="10" spans="1:22" ht="15" customHeight="1" x14ac:dyDescent="0.3">
      <c r="F10" s="29" t="s">
        <v>8</v>
      </c>
      <c r="G10" s="32" t="s">
        <v>43</v>
      </c>
      <c r="H10" s="34"/>
      <c r="I10" s="38"/>
      <c r="J10" s="284" t="str">
        <f>IF(ISBLANK(H6),"",IF(H6&gt;H14,F6,F14))</f>
        <v>Бадди</v>
      </c>
      <c r="K10" s="281"/>
      <c r="L10" s="35">
        <v>13</v>
      </c>
      <c r="M10" s="36"/>
    </row>
    <row r="11" spans="1:22" ht="15" customHeight="1" x14ac:dyDescent="0.3">
      <c r="I11" s="38"/>
      <c r="M11" s="37"/>
    </row>
    <row r="12" spans="1:22" ht="15" customHeight="1" x14ac:dyDescent="0.3">
      <c r="B12" s="281" t="str">
        <f>R2</f>
        <v>Авант</v>
      </c>
      <c r="C12" s="282"/>
      <c r="D12" s="35">
        <v>8</v>
      </c>
      <c r="E12" s="36"/>
      <c r="I12" s="38"/>
      <c r="M12" s="38"/>
    </row>
    <row r="13" spans="1:22" ht="15" customHeight="1" x14ac:dyDescent="0.3">
      <c r="E13" s="37"/>
      <c r="I13" s="38"/>
      <c r="M13" s="38"/>
    </row>
    <row r="14" spans="1:22" ht="15" customHeight="1" x14ac:dyDescent="0.3">
      <c r="A14" s="26" t="s">
        <v>33</v>
      </c>
      <c r="B14" s="29" t="s">
        <v>8</v>
      </c>
      <c r="C14" s="34">
        <v>2</v>
      </c>
      <c r="E14" s="38"/>
      <c r="F14" s="284" t="str">
        <f>IF(ISBLANK(D12),"",IF(D12&gt;D16,B12,B16))</f>
        <v>Усы Надежды</v>
      </c>
      <c r="G14" s="282"/>
      <c r="H14" s="35">
        <v>2</v>
      </c>
      <c r="I14" s="39"/>
      <c r="M14" s="38"/>
    </row>
    <row r="15" spans="1:22" ht="15" customHeight="1" x14ac:dyDescent="0.3">
      <c r="E15" s="38"/>
      <c r="M15" s="38"/>
      <c r="O15" s="32" t="s">
        <v>48</v>
      </c>
    </row>
    <row r="16" spans="1:22" ht="15" customHeight="1" x14ac:dyDescent="0.3">
      <c r="B16" s="281" t="str">
        <f>T4</f>
        <v>Усы Надежды</v>
      </c>
      <c r="C16" s="282"/>
      <c r="D16" s="35">
        <v>13</v>
      </c>
      <c r="E16" s="39"/>
      <c r="M16" s="38"/>
    </row>
    <row r="17" spans="1:17" ht="15" customHeight="1" x14ac:dyDescent="0.3">
      <c r="M17" s="38"/>
    </row>
    <row r="18" spans="1:17" ht="15" customHeight="1" x14ac:dyDescent="0.3">
      <c r="J18" s="29" t="s">
        <v>8</v>
      </c>
      <c r="K18" s="42" t="s">
        <v>45</v>
      </c>
      <c r="L18" s="34"/>
      <c r="M18" s="38"/>
      <c r="N18" s="284" t="str">
        <f>IF(ISBLANK(L10),"",IF(L10&gt;L26,J10,J26))</f>
        <v>Бадди</v>
      </c>
      <c r="O18" s="281"/>
      <c r="P18" s="35">
        <v>13</v>
      </c>
      <c r="Q18" s="36"/>
    </row>
    <row r="19" spans="1:17" ht="15" customHeight="1" x14ac:dyDescent="0.3">
      <c r="M19" s="38"/>
      <c r="P19" s="40"/>
      <c r="Q19" s="37"/>
    </row>
    <row r="20" spans="1:17" ht="15" customHeight="1" x14ac:dyDescent="0.3">
      <c r="B20" s="285" t="str">
        <f>P2</f>
        <v>ВДВ</v>
      </c>
      <c r="C20" s="282"/>
      <c r="D20" s="35">
        <v>3</v>
      </c>
      <c r="E20" s="36"/>
      <c r="M20" s="38"/>
      <c r="P20" s="41"/>
      <c r="Q20" s="38"/>
    </row>
    <row r="21" spans="1:17" ht="15" customHeight="1" x14ac:dyDescent="0.3">
      <c r="E21" s="37"/>
      <c r="M21" s="38"/>
      <c r="P21" s="41"/>
      <c r="Q21" s="38"/>
    </row>
    <row r="22" spans="1:17" ht="15" customHeight="1" x14ac:dyDescent="0.3">
      <c r="A22" s="26" t="s">
        <v>35</v>
      </c>
      <c r="B22" s="29" t="s">
        <v>8</v>
      </c>
      <c r="C22" s="34">
        <v>3</v>
      </c>
      <c r="E22" s="38"/>
      <c r="F22" s="284" t="str">
        <f>IF(ISBLANK(D20),"",IF(D20&gt;D24,B20,B24))</f>
        <v>Маяк</v>
      </c>
      <c r="G22" s="282"/>
      <c r="H22" s="35">
        <v>11</v>
      </c>
      <c r="I22" s="36"/>
      <c r="M22" s="38"/>
      <c r="P22" s="41"/>
      <c r="Q22" s="38"/>
    </row>
    <row r="23" spans="1:17" ht="15" customHeight="1" x14ac:dyDescent="0.3">
      <c r="C23" s="34"/>
      <c r="E23" s="38"/>
      <c r="I23" s="37"/>
      <c r="M23" s="38"/>
      <c r="P23" s="41"/>
      <c r="Q23" s="38"/>
    </row>
    <row r="24" spans="1:17" ht="15" customHeight="1" x14ac:dyDescent="0.3">
      <c r="B24" s="281" t="str">
        <f>R4</f>
        <v>Маяк</v>
      </c>
      <c r="C24" s="282"/>
      <c r="D24" s="35">
        <v>13</v>
      </c>
      <c r="E24" s="39"/>
      <c r="I24" s="38"/>
      <c r="M24" s="38"/>
      <c r="P24" s="41"/>
      <c r="Q24" s="38"/>
    </row>
    <row r="25" spans="1:17" ht="15" customHeight="1" x14ac:dyDescent="0.3">
      <c r="C25" s="34"/>
      <c r="I25" s="38"/>
      <c r="M25" s="38"/>
      <c r="P25" s="41"/>
      <c r="Q25" s="38"/>
    </row>
    <row r="26" spans="1:17" ht="15" customHeight="1" x14ac:dyDescent="0.3">
      <c r="C26" s="34"/>
      <c r="F26" s="29" t="s">
        <v>8</v>
      </c>
      <c r="G26" s="32">
        <v>5</v>
      </c>
      <c r="H26" s="34"/>
      <c r="I26" s="38"/>
      <c r="J26" s="284" t="str">
        <f>IF(ISBLANK(H22),"",IF(H22&gt;H30,F22,F30))</f>
        <v>Маяк</v>
      </c>
      <c r="K26" s="282"/>
      <c r="L26" s="35">
        <v>0</v>
      </c>
      <c r="M26" s="39"/>
      <c r="P26" s="41"/>
      <c r="Q26" s="38"/>
    </row>
    <row r="27" spans="1:17" ht="15" customHeight="1" x14ac:dyDescent="0.3">
      <c r="C27" s="34"/>
      <c r="I27" s="38"/>
      <c r="P27" s="41"/>
      <c r="Q27" s="38"/>
    </row>
    <row r="28" spans="1:17" ht="15" customHeight="1" x14ac:dyDescent="0.3">
      <c r="B28" s="281" t="str">
        <f>T2</f>
        <v>ААА+</v>
      </c>
      <c r="C28" s="282"/>
      <c r="D28" s="35">
        <v>7</v>
      </c>
      <c r="E28" s="36"/>
      <c r="I28" s="38"/>
      <c r="P28" s="41"/>
      <c r="Q28" s="38"/>
    </row>
    <row r="29" spans="1:17" ht="15" customHeight="1" x14ac:dyDescent="0.3">
      <c r="C29" s="34"/>
      <c r="E29" s="37"/>
      <c r="I29" s="38"/>
      <c r="P29" s="41"/>
      <c r="Q29" s="38"/>
    </row>
    <row r="30" spans="1:17" ht="15" customHeight="1" x14ac:dyDescent="0.3">
      <c r="A30" s="26" t="s">
        <v>36</v>
      </c>
      <c r="B30" s="29" t="s">
        <v>8</v>
      </c>
      <c r="C30" s="34">
        <v>4</v>
      </c>
      <c r="E30" s="38"/>
      <c r="F30" s="284" t="str">
        <f>IF(ISBLANK(D28),"",IF(D28&gt;D32,B28,B32))</f>
        <v>Консультант+</v>
      </c>
      <c r="G30" s="282"/>
      <c r="H30" s="35">
        <v>5</v>
      </c>
      <c r="I30" s="39"/>
      <c r="P30" s="41"/>
      <c r="Q30" s="38"/>
    </row>
    <row r="31" spans="1:17" ht="15" customHeight="1" x14ac:dyDescent="0.3">
      <c r="E31" s="38"/>
      <c r="P31" s="41"/>
      <c r="Q31" s="38"/>
    </row>
    <row r="32" spans="1:17" ht="15" customHeight="1" x14ac:dyDescent="0.3">
      <c r="B32" s="281" t="str">
        <f>V4</f>
        <v>Консультант+</v>
      </c>
      <c r="C32" s="282"/>
      <c r="D32" s="35">
        <v>9</v>
      </c>
      <c r="E32" s="39"/>
      <c r="P32" s="41"/>
      <c r="Q32" s="38"/>
    </row>
    <row r="33" spans="1:19" ht="15" customHeight="1" x14ac:dyDescent="0.3">
      <c r="P33" s="41"/>
      <c r="Q33" s="38"/>
    </row>
    <row r="34" spans="1:19" ht="15" customHeight="1" x14ac:dyDescent="0.3">
      <c r="N34" s="34" t="s">
        <v>8</v>
      </c>
      <c r="O34" s="32" t="s">
        <v>44</v>
      </c>
      <c r="P34" s="34"/>
      <c r="Q34" s="38"/>
      <c r="R34" s="284" t="str">
        <f>IF(ISBLANK(P18),"",IF(P18&gt;P50,N18,N50))</f>
        <v>Бадди</v>
      </c>
      <c r="S34" s="281"/>
    </row>
    <row r="35" spans="1:19" ht="15" customHeight="1" x14ac:dyDescent="0.3">
      <c r="P35" s="41"/>
      <c r="Q35" s="38"/>
    </row>
    <row r="36" spans="1:19" ht="15" customHeight="1" x14ac:dyDescent="0.3">
      <c r="B36" s="281" t="str">
        <f>V2</f>
        <v>Торонто</v>
      </c>
      <c r="C36" s="282"/>
      <c r="D36" s="35">
        <v>9</v>
      </c>
      <c r="E36" s="36"/>
      <c r="P36" s="41"/>
      <c r="Q36" s="38"/>
    </row>
    <row r="37" spans="1:19" ht="15" customHeight="1" x14ac:dyDescent="0.3">
      <c r="E37" s="37"/>
      <c r="P37" s="41"/>
      <c r="Q37" s="38"/>
    </row>
    <row r="38" spans="1:19" ht="15" customHeight="1" x14ac:dyDescent="0.3">
      <c r="A38" s="26" t="s">
        <v>37</v>
      </c>
      <c r="B38" s="29" t="s">
        <v>8</v>
      </c>
      <c r="C38" s="34">
        <v>5</v>
      </c>
      <c r="E38" s="38"/>
      <c r="F38" s="284" t="str">
        <f>IF(ISBLANK(D36),"",IF(D36&gt;D40,B36,B40))</f>
        <v>Петергоф</v>
      </c>
      <c r="G38" s="282"/>
      <c r="H38" s="35">
        <v>2</v>
      </c>
      <c r="I38" s="36"/>
      <c r="P38" s="41"/>
      <c r="Q38" s="38"/>
    </row>
    <row r="39" spans="1:19" ht="15" customHeight="1" x14ac:dyDescent="0.3">
      <c r="E39" s="38"/>
      <c r="I39" s="37"/>
      <c r="P39" s="41"/>
      <c r="Q39" s="38"/>
    </row>
    <row r="40" spans="1:19" ht="15" customHeight="1" x14ac:dyDescent="0.3">
      <c r="B40" s="285" t="str">
        <f>N4</f>
        <v>Петергоф</v>
      </c>
      <c r="C40" s="282"/>
      <c r="D40" s="35">
        <v>10</v>
      </c>
      <c r="E40" s="39"/>
      <c r="I40" s="38"/>
      <c r="P40" s="41"/>
      <c r="Q40" s="38"/>
    </row>
    <row r="41" spans="1:19" ht="15" customHeight="1" x14ac:dyDescent="0.3">
      <c r="I41" s="38"/>
      <c r="P41" s="41"/>
      <c r="Q41" s="38"/>
    </row>
    <row r="42" spans="1:19" ht="15" customHeight="1" x14ac:dyDescent="0.3">
      <c r="F42" s="29" t="s">
        <v>8</v>
      </c>
      <c r="G42" s="32" t="s">
        <v>41</v>
      </c>
      <c r="H42" s="34"/>
      <c r="I42" s="38"/>
      <c r="J42" s="284" t="str">
        <f>IF(ISBLANK(H38),"",IF(H38&gt;H46,F38,F46))</f>
        <v>БИП</v>
      </c>
      <c r="K42" s="281"/>
      <c r="L42" s="35">
        <v>13</v>
      </c>
      <c r="M42" s="36"/>
      <c r="P42" s="41"/>
      <c r="Q42" s="38"/>
    </row>
    <row r="43" spans="1:19" ht="15" customHeight="1" x14ac:dyDescent="0.3">
      <c r="I43" s="38"/>
      <c r="M43" s="37"/>
      <c r="P43" s="41"/>
      <c r="Q43" s="38"/>
    </row>
    <row r="44" spans="1:19" ht="15" customHeight="1" x14ac:dyDescent="0.3">
      <c r="B44" s="281" t="str">
        <f>R3</f>
        <v>БИП</v>
      </c>
      <c r="C44" s="282"/>
      <c r="D44" s="35">
        <v>13</v>
      </c>
      <c r="E44" s="36"/>
      <c r="I44" s="38"/>
      <c r="M44" s="38"/>
      <c r="P44" s="41"/>
      <c r="Q44" s="38"/>
    </row>
    <row r="45" spans="1:19" ht="15" customHeight="1" x14ac:dyDescent="0.3">
      <c r="E45" s="37"/>
      <c r="I45" s="38"/>
      <c r="M45" s="38"/>
      <c r="P45" s="41"/>
      <c r="Q45" s="38"/>
    </row>
    <row r="46" spans="1:19" ht="15" customHeight="1" x14ac:dyDescent="0.3">
      <c r="A46" s="26" t="s">
        <v>38</v>
      </c>
      <c r="B46" s="29" t="s">
        <v>8</v>
      </c>
      <c r="C46" s="34">
        <v>6</v>
      </c>
      <c r="E46" s="38"/>
      <c r="F46" s="284" t="str">
        <f>IF(ISBLANK(D44),"",IF(D44&gt;D48,B44,B48))</f>
        <v>БИП</v>
      </c>
      <c r="G46" s="282"/>
      <c r="H46" s="35">
        <v>13</v>
      </c>
      <c r="I46" s="39"/>
      <c r="M46" s="38"/>
      <c r="P46" s="41"/>
      <c r="Q46" s="38"/>
    </row>
    <row r="47" spans="1:19" ht="15" customHeight="1" x14ac:dyDescent="0.3">
      <c r="E47" s="38"/>
      <c r="M47" s="38"/>
      <c r="P47" s="41"/>
      <c r="Q47" s="38"/>
    </row>
    <row r="48" spans="1:19" ht="15" customHeight="1" x14ac:dyDescent="0.3">
      <c r="B48" s="281" t="str">
        <f>T3</f>
        <v>Новичок</v>
      </c>
      <c r="C48" s="282"/>
      <c r="D48" s="35">
        <v>3</v>
      </c>
      <c r="E48" s="39"/>
      <c r="M48" s="38"/>
      <c r="P48" s="41"/>
      <c r="Q48" s="38"/>
    </row>
    <row r="49" spans="1:17" ht="15" customHeight="1" x14ac:dyDescent="0.3">
      <c r="M49" s="38"/>
      <c r="P49" s="41"/>
      <c r="Q49" s="38"/>
    </row>
    <row r="50" spans="1:17" ht="15" customHeight="1" x14ac:dyDescent="0.3">
      <c r="J50" s="29" t="s">
        <v>8</v>
      </c>
      <c r="K50" s="32" t="s">
        <v>50</v>
      </c>
      <c r="L50" s="34"/>
      <c r="M50" s="38"/>
      <c r="N50" s="284" t="str">
        <f>IF(ISBLANK(L42),"",IF(L42&gt;L58,J42,J58))</f>
        <v>БИП</v>
      </c>
      <c r="O50" s="281"/>
      <c r="P50" s="35">
        <v>2</v>
      </c>
      <c r="Q50" s="39"/>
    </row>
    <row r="51" spans="1:17" ht="15" customHeight="1" x14ac:dyDescent="0.3">
      <c r="M51" s="38"/>
    </row>
    <row r="52" spans="1:17" ht="15" customHeight="1" x14ac:dyDescent="0.3">
      <c r="B52" s="285" t="str">
        <f>P3</f>
        <v>Валькирии</v>
      </c>
      <c r="C52" s="282"/>
      <c r="D52" s="35">
        <v>10</v>
      </c>
      <c r="E52" s="36"/>
      <c r="M52" s="38"/>
    </row>
    <row r="53" spans="1:17" ht="15" customHeight="1" x14ac:dyDescent="0.3">
      <c r="E53" s="37"/>
      <c r="M53" s="38"/>
    </row>
    <row r="54" spans="1:17" ht="15" customHeight="1" x14ac:dyDescent="0.3">
      <c r="A54" s="26" t="s">
        <v>39</v>
      </c>
      <c r="B54" s="29" t="s">
        <v>8</v>
      </c>
      <c r="C54" s="49" t="s">
        <v>41</v>
      </c>
      <c r="E54" s="38"/>
      <c r="F54" s="284" t="str">
        <f>IF(ISBLANK(D52),"",IF(D52&gt;D56,B52,B56))</f>
        <v>Валькирии</v>
      </c>
      <c r="G54" s="282"/>
      <c r="H54" s="35">
        <v>6</v>
      </c>
      <c r="I54" s="36"/>
      <c r="M54" s="38"/>
    </row>
    <row r="55" spans="1:17" ht="15" customHeight="1" x14ac:dyDescent="0.3">
      <c r="E55" s="38"/>
      <c r="I55" s="37"/>
      <c r="M55" s="38"/>
    </row>
    <row r="56" spans="1:17" ht="15" customHeight="1" x14ac:dyDescent="0.3">
      <c r="B56" s="285" t="str">
        <f>N3</f>
        <v>Самба</v>
      </c>
      <c r="C56" s="282"/>
      <c r="D56" s="35">
        <v>9</v>
      </c>
      <c r="E56" s="39"/>
      <c r="I56" s="38"/>
      <c r="M56" s="38"/>
    </row>
    <row r="57" spans="1:17" ht="15" customHeight="1" x14ac:dyDescent="0.3">
      <c r="I57" s="38"/>
      <c r="M57" s="38"/>
    </row>
    <row r="58" spans="1:17" ht="15" customHeight="1" x14ac:dyDescent="0.3">
      <c r="F58" s="29" t="s">
        <v>8</v>
      </c>
      <c r="G58" s="32">
        <v>1</v>
      </c>
      <c r="H58" s="34"/>
      <c r="I58" s="38"/>
      <c r="J58" s="284" t="str">
        <f>IF(ISBLANK(H54),"",IF(H54&gt;H62,F54,F62))</f>
        <v>Галакси</v>
      </c>
      <c r="K58" s="282"/>
      <c r="L58" s="35">
        <v>9</v>
      </c>
      <c r="M58" s="39"/>
    </row>
    <row r="59" spans="1:17" ht="15" customHeight="1" x14ac:dyDescent="0.3">
      <c r="I59" s="38"/>
    </row>
    <row r="60" spans="1:17" ht="15" customHeight="1" x14ac:dyDescent="0.3">
      <c r="B60" s="281" t="str">
        <f>V3</f>
        <v>Галакси</v>
      </c>
      <c r="C60" s="282"/>
      <c r="D60" s="35">
        <v>13</v>
      </c>
      <c r="E60" s="36"/>
      <c r="I60" s="38"/>
    </row>
    <row r="61" spans="1:17" ht="15" customHeight="1" x14ac:dyDescent="0.3">
      <c r="E61" s="37"/>
      <c r="I61" s="38"/>
    </row>
    <row r="62" spans="1:17" ht="15" customHeight="1" x14ac:dyDescent="0.3">
      <c r="A62" s="26" t="s">
        <v>40</v>
      </c>
      <c r="B62" s="29" t="s">
        <v>8</v>
      </c>
      <c r="C62" s="34" t="s">
        <v>42</v>
      </c>
      <c r="E62" s="38"/>
      <c r="F62" s="284" t="str">
        <f>IF(ISBLANK(D60),"",IF(D60&gt;D64,B60,B64))</f>
        <v>Галакси</v>
      </c>
      <c r="G62" s="282"/>
      <c r="H62" s="35">
        <v>13</v>
      </c>
      <c r="I62" s="39"/>
    </row>
    <row r="63" spans="1:17" ht="15" customHeight="1" x14ac:dyDescent="0.3">
      <c r="C63" s="34"/>
      <c r="E63" s="38"/>
    </row>
    <row r="64" spans="1:17" ht="15" customHeight="1" x14ac:dyDescent="0.3">
      <c r="B64" s="281" t="str">
        <f>P7</f>
        <v>Салют</v>
      </c>
      <c r="C64" s="282"/>
      <c r="D64" s="35">
        <v>7</v>
      </c>
      <c r="E64" s="39"/>
    </row>
    <row r="66" spans="2:7" x14ac:dyDescent="0.3">
      <c r="D66" s="32" t="s">
        <v>49</v>
      </c>
    </row>
    <row r="68" spans="2:7" ht="15" customHeight="1" x14ac:dyDescent="0.3">
      <c r="B68" s="281" t="str">
        <f>IF(ISBLANK(L10),"",IF(L10&gt;L26,J26,J10))</f>
        <v>Маяк</v>
      </c>
      <c r="C68" s="282"/>
      <c r="D68" s="35">
        <v>13</v>
      </c>
      <c r="E68" s="36"/>
      <c r="F68" s="286"/>
      <c r="G68" s="286"/>
    </row>
    <row r="69" spans="2:7" ht="15" customHeight="1" x14ac:dyDescent="0.3">
      <c r="E69" s="37"/>
    </row>
    <row r="70" spans="2:7" ht="15" customHeight="1" x14ac:dyDescent="0.3">
      <c r="B70" s="29" t="s">
        <v>8</v>
      </c>
      <c r="C70" s="34" t="s">
        <v>45</v>
      </c>
      <c r="E70" s="38"/>
      <c r="F70" s="284" t="str">
        <f>IF(ISBLANK(D68),"",IF(D68&gt;D72,B68,B72))</f>
        <v>Маяк</v>
      </c>
      <c r="G70" s="281"/>
    </row>
    <row r="71" spans="2:7" ht="15" customHeight="1" x14ac:dyDescent="0.3">
      <c r="E71" s="38"/>
    </row>
    <row r="72" spans="2:7" ht="15" customHeight="1" x14ac:dyDescent="0.3">
      <c r="B72" s="281" t="str">
        <f>IF(ISBLANK(L42),"",IF(L42&gt;L58,J58,J42))</f>
        <v>Галакси</v>
      </c>
      <c r="C72" s="282"/>
      <c r="D72" s="35">
        <v>7</v>
      </c>
      <c r="E72" s="39"/>
    </row>
    <row r="86" spans="12:12" ht="15" customHeight="1" x14ac:dyDescent="0.3">
      <c r="L86" s="34"/>
    </row>
  </sheetData>
  <mergeCells count="36">
    <mergeCell ref="B72:C72"/>
    <mergeCell ref="N50:O50"/>
    <mergeCell ref="B52:C52"/>
    <mergeCell ref="F54:G54"/>
    <mergeCell ref="B56:C56"/>
    <mergeCell ref="J58:K58"/>
    <mergeCell ref="B60:C60"/>
    <mergeCell ref="F62:G62"/>
    <mergeCell ref="B64:C64"/>
    <mergeCell ref="B68:C68"/>
    <mergeCell ref="F68:G68"/>
    <mergeCell ref="F70:G70"/>
    <mergeCell ref="B48:C48"/>
    <mergeCell ref="J26:K26"/>
    <mergeCell ref="B28:C28"/>
    <mergeCell ref="F30:G30"/>
    <mergeCell ref="B32:C32"/>
    <mergeCell ref="F38:G38"/>
    <mergeCell ref="B40:C40"/>
    <mergeCell ref="J42:K42"/>
    <mergeCell ref="B44:C44"/>
    <mergeCell ref="F46:G46"/>
    <mergeCell ref="R34:S34"/>
    <mergeCell ref="B36:C36"/>
    <mergeCell ref="F14:G14"/>
    <mergeCell ref="B16:C16"/>
    <mergeCell ref="N18:O18"/>
    <mergeCell ref="B20:C20"/>
    <mergeCell ref="F22:G22"/>
    <mergeCell ref="B24:C24"/>
    <mergeCell ref="B12:C12"/>
    <mergeCell ref="B1:K1"/>
    <mergeCell ref="B4:C4"/>
    <mergeCell ref="F6:G6"/>
    <mergeCell ref="B8:C8"/>
    <mergeCell ref="J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Регламент</vt:lpstr>
      <vt:lpstr>Жеребьевка</vt:lpstr>
      <vt:lpstr>Список</vt:lpstr>
      <vt:lpstr>Группа 1</vt:lpstr>
      <vt:lpstr>Группа 2</vt:lpstr>
      <vt:lpstr>Группа 3</vt:lpstr>
      <vt:lpstr>Группа 4 </vt:lpstr>
      <vt:lpstr>Группа 5</vt:lpstr>
      <vt:lpstr>Плей офф 16 Кубок А</vt:lpstr>
      <vt:lpstr>Кубок Б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</dc:creator>
  <cp:lastModifiedBy>User</cp:lastModifiedBy>
  <cp:lastPrinted>2021-12-11T05:18:20Z</cp:lastPrinted>
  <dcterms:created xsi:type="dcterms:W3CDTF">2021-12-03T09:49:56Z</dcterms:created>
  <dcterms:modified xsi:type="dcterms:W3CDTF">2021-12-12T12:54:53Z</dcterms:modified>
</cp:coreProperties>
</file>